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5"/>
  <workbookPr filterPrivacy="1" codeName="ThisWorkbook" defaultThemeVersion="124226"/>
  <xr:revisionPtr revIDLastSave="0" documentId="8_{AD5FD4FD-0759-4DCC-9231-12219571DBA7}" xr6:coauthVersionLast="47" xr6:coauthVersionMax="47" xr10:uidLastSave="{00000000-0000-0000-0000-000000000000}"/>
  <bookViews>
    <workbookView xWindow="19090" yWindow="980" windowWidth="19420" windowHeight="10420" tabRatio="656" xr2:uid="{00000000-000D-0000-FFFF-FFFF00000000}"/>
  </bookViews>
  <sheets>
    <sheet name="Rate Sheet" sheetId="3" r:id="rId1"/>
    <sheet name="CPI Calculation" sheetId="14" state="hidden" r:id="rId2"/>
    <sheet name="Disposal Rate History" sheetId="13" r:id="rId3"/>
  </sheets>
  <definedNames>
    <definedName name="_xlnm.Print_Area" localSheetId="1">'CPI Calculation'!$A$1:$P$17</definedName>
    <definedName name="_xlnm.Print_Area" localSheetId="2">'Disposal Rate History'!$A$1:$D$7</definedName>
    <definedName name="_xlnm.Print_Area" localSheetId="0">'Rate Sheet'!$A$1:$K$194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8" i="3" l="1"/>
  <c r="G179" i="3"/>
  <c r="G180" i="3"/>
  <c r="G174" i="3"/>
  <c r="G173" i="3"/>
  <c r="G172" i="3"/>
  <c r="G170" i="3"/>
  <c r="G169" i="3"/>
  <c r="G168" i="3"/>
  <c r="G167" i="3"/>
  <c r="G166" i="3"/>
  <c r="G164" i="3"/>
  <c r="G163" i="3"/>
  <c r="G162" i="3"/>
  <c r="G161" i="3"/>
  <c r="G160" i="3"/>
  <c r="G158" i="3"/>
  <c r="G157" i="3"/>
  <c r="G156" i="3"/>
  <c r="G155" i="3"/>
  <c r="G154" i="3"/>
  <c r="G152" i="3"/>
  <c r="G151" i="3"/>
  <c r="G150" i="3"/>
  <c r="G149" i="3"/>
  <c r="G148" i="3"/>
  <c r="G146" i="3"/>
  <c r="G145" i="3"/>
  <c r="G144" i="3"/>
  <c r="G143" i="3"/>
  <c r="G142" i="3"/>
  <c r="G124" i="3"/>
  <c r="G123" i="3"/>
  <c r="G122" i="3"/>
  <c r="G121" i="3"/>
  <c r="G120" i="3"/>
  <c r="G119" i="3"/>
  <c r="G117" i="3"/>
  <c r="G116" i="3"/>
  <c r="G115" i="3"/>
  <c r="G113" i="3"/>
  <c r="G112" i="3"/>
  <c r="G111" i="3"/>
  <c r="G109" i="3"/>
  <c r="G108" i="3"/>
  <c r="G107" i="3"/>
  <c r="G105" i="3"/>
  <c r="G104" i="3"/>
  <c r="G103" i="3"/>
  <c r="G100" i="3"/>
  <c r="G99" i="3"/>
  <c r="G98" i="3"/>
  <c r="G97" i="3"/>
  <c r="G96" i="3"/>
  <c r="G95" i="3"/>
  <c r="G93" i="3"/>
  <c r="G92" i="3"/>
  <c r="G91" i="3"/>
  <c r="G90" i="3"/>
  <c r="G89" i="3"/>
  <c r="G88" i="3"/>
  <c r="G86" i="3"/>
  <c r="G85" i="3"/>
  <c r="G84" i="3"/>
  <c r="G83" i="3"/>
  <c r="G82" i="3"/>
  <c r="G81" i="3"/>
  <c r="G79" i="3"/>
  <c r="G78" i="3"/>
  <c r="G77" i="3"/>
  <c r="G76" i="3"/>
  <c r="G75" i="3"/>
  <c r="G74" i="3"/>
  <c r="G72" i="3"/>
  <c r="G71" i="3"/>
  <c r="G70" i="3"/>
  <c r="G69" i="3"/>
  <c r="G68" i="3"/>
  <c r="G67" i="3"/>
  <c r="G65" i="3"/>
  <c r="G64" i="3"/>
  <c r="G63" i="3"/>
  <c r="G62" i="3"/>
  <c r="G61" i="3"/>
  <c r="G60" i="3"/>
  <c r="G58" i="3"/>
  <c r="G57" i="3"/>
  <c r="G56" i="3"/>
  <c r="G55" i="3"/>
  <c r="G54" i="3"/>
  <c r="E191" i="3"/>
  <c r="E190" i="3"/>
  <c r="E189" i="3"/>
  <c r="E188" i="3"/>
  <c r="E187" i="3"/>
  <c r="E186" i="3"/>
  <c r="E185" i="3"/>
  <c r="E184" i="3"/>
  <c r="E181" i="3"/>
  <c r="E180" i="3"/>
  <c r="E179" i="3"/>
  <c r="E178" i="3"/>
  <c r="E177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74" i="3"/>
  <c r="E173" i="3"/>
  <c r="E172" i="3"/>
  <c r="E170" i="3"/>
  <c r="E169" i="3"/>
  <c r="E168" i="3"/>
  <c r="E167" i="3"/>
  <c r="E166" i="3"/>
  <c r="E164" i="3"/>
  <c r="E163" i="3"/>
  <c r="E162" i="3"/>
  <c r="E161" i="3"/>
  <c r="E160" i="3"/>
  <c r="E158" i="3"/>
  <c r="E157" i="3"/>
  <c r="E156" i="3"/>
  <c r="E155" i="3"/>
  <c r="E154" i="3"/>
  <c r="E152" i="3"/>
  <c r="E151" i="3"/>
  <c r="E150" i="3"/>
  <c r="E149" i="3"/>
  <c r="E148" i="3"/>
  <c r="E146" i="3"/>
  <c r="E145" i="3"/>
  <c r="E144" i="3"/>
  <c r="E143" i="3"/>
  <c r="E142" i="3"/>
  <c r="E124" i="3"/>
  <c r="E123" i="3"/>
  <c r="E122" i="3"/>
  <c r="E121" i="3"/>
  <c r="E120" i="3"/>
  <c r="E119" i="3"/>
  <c r="E117" i="3"/>
  <c r="E116" i="3"/>
  <c r="E115" i="3"/>
  <c r="E113" i="3"/>
  <c r="E112" i="3"/>
  <c r="E111" i="3"/>
  <c r="E109" i="3"/>
  <c r="E108" i="3"/>
  <c r="E107" i="3"/>
  <c r="E105" i="3"/>
  <c r="E104" i="3"/>
  <c r="E103" i="3"/>
  <c r="E100" i="3"/>
  <c r="E99" i="3"/>
  <c r="E98" i="3"/>
  <c r="E97" i="3"/>
  <c r="E96" i="3"/>
  <c r="E95" i="3"/>
  <c r="E93" i="3"/>
  <c r="E92" i="3"/>
  <c r="E91" i="3"/>
  <c r="E90" i="3"/>
  <c r="E89" i="3"/>
  <c r="E88" i="3"/>
  <c r="E86" i="3"/>
  <c r="E85" i="3"/>
  <c r="E84" i="3"/>
  <c r="E83" i="3"/>
  <c r="E82" i="3"/>
  <c r="E81" i="3"/>
  <c r="E79" i="3"/>
  <c r="E78" i="3"/>
  <c r="E77" i="3"/>
  <c r="E76" i="3"/>
  <c r="E75" i="3"/>
  <c r="E74" i="3"/>
  <c r="E72" i="3"/>
  <c r="E71" i="3"/>
  <c r="E70" i="3"/>
  <c r="E69" i="3"/>
  <c r="E68" i="3"/>
  <c r="E67" i="3"/>
  <c r="E65" i="3"/>
  <c r="E64" i="3"/>
  <c r="E63" i="3"/>
  <c r="E62" i="3"/>
  <c r="E61" i="3"/>
  <c r="E60" i="3"/>
  <c r="E58" i="3"/>
  <c r="E57" i="3"/>
  <c r="E56" i="3"/>
  <c r="E55" i="3"/>
  <c r="E54" i="3"/>
  <c r="F58" i="3"/>
  <c r="F57" i="3"/>
  <c r="F56" i="3"/>
  <c r="F55" i="3"/>
  <c r="F54" i="3"/>
  <c r="G36" i="3"/>
  <c r="G35" i="3"/>
  <c r="G34" i="3"/>
  <c r="G32" i="3"/>
  <c r="G31" i="3"/>
  <c r="G29" i="3"/>
  <c r="G28" i="3"/>
  <c r="G26" i="3"/>
  <c r="G25" i="3"/>
  <c r="G24" i="3"/>
  <c r="G23" i="3"/>
  <c r="G21" i="3"/>
  <c r="G20" i="3"/>
  <c r="G19" i="3"/>
  <c r="G18" i="3"/>
  <c r="G16" i="3"/>
  <c r="G15" i="3"/>
  <c r="G14" i="3"/>
  <c r="G13" i="3"/>
  <c r="E49" i="3"/>
  <c r="E48" i="3"/>
  <c r="E47" i="3"/>
  <c r="E46" i="3"/>
  <c r="E45" i="3"/>
  <c r="E44" i="3"/>
  <c r="E43" i="3"/>
  <c r="E42" i="3"/>
  <c r="E41" i="3"/>
  <c r="E40" i="3"/>
  <c r="E39" i="3"/>
  <c r="E38" i="3"/>
  <c r="E36" i="3"/>
  <c r="E35" i="3"/>
  <c r="E34" i="3"/>
  <c r="E32" i="3"/>
  <c r="E31" i="3"/>
  <c r="E29" i="3"/>
  <c r="E28" i="3"/>
  <c r="E26" i="3"/>
  <c r="E25" i="3"/>
  <c r="E24" i="3"/>
  <c r="E23" i="3"/>
  <c r="E21" i="3"/>
  <c r="E20" i="3"/>
  <c r="E19" i="3"/>
  <c r="E18" i="3"/>
  <c r="E14" i="3"/>
  <c r="E15" i="3"/>
  <c r="E16" i="3"/>
  <c r="E13" i="3"/>
  <c r="H8" i="3"/>
  <c r="H7" i="3"/>
  <c r="C14" i="13"/>
  <c r="C22" i="13"/>
  <c r="C7" i="13"/>
  <c r="B11" i="13"/>
  <c r="B10" i="13"/>
  <c r="C11" i="13"/>
  <c r="C10" i="13"/>
  <c r="G189" i="3"/>
  <c r="G188" i="3"/>
  <c r="G187" i="3"/>
  <c r="G186" i="3"/>
  <c r="G185" i="3"/>
  <c r="G184" i="3"/>
  <c r="G136" i="3"/>
  <c r="G135" i="3"/>
  <c r="G134" i="3"/>
  <c r="G133" i="3"/>
  <c r="G132" i="3"/>
  <c r="G131" i="3"/>
  <c r="G130" i="3"/>
  <c r="G129" i="3"/>
  <c r="G128" i="3"/>
  <c r="G127" i="3"/>
  <c r="G126" i="3"/>
  <c r="G39" i="3"/>
  <c r="G40" i="3"/>
  <c r="G42" i="3"/>
  <c r="G43" i="3"/>
  <c r="G44" i="3"/>
  <c r="G45" i="3"/>
  <c r="G46" i="3"/>
  <c r="G47" i="3"/>
  <c r="G38" i="3"/>
  <c r="C19" i="13"/>
  <c r="C18" i="13"/>
  <c r="C12" i="13" l="1"/>
  <c r="C13" i="13" s="1"/>
  <c r="C15" i="13" l="1"/>
  <c r="L124" i="3"/>
  <c r="M124" i="3" s="1"/>
  <c r="L123" i="3"/>
  <c r="M123" i="3" s="1"/>
  <c r="L122" i="3"/>
  <c r="M122" i="3" s="1"/>
  <c r="L121" i="3"/>
  <c r="M121" i="3" s="1"/>
  <c r="L120" i="3"/>
  <c r="M120" i="3" s="1"/>
  <c r="L119" i="3"/>
  <c r="M119" i="3" s="1"/>
  <c r="L186" i="3" l="1"/>
  <c r="M186" i="3" s="1"/>
  <c r="O5" i="14" l="1"/>
  <c r="L38" i="3" l="1"/>
  <c r="M38" i="3" s="1"/>
  <c r="J138" i="3" l="1"/>
  <c r="J137" i="3"/>
  <c r="L126" i="3"/>
  <c r="M126" i="3" s="1"/>
  <c r="J190" i="3" l="1"/>
  <c r="J191" i="3"/>
  <c r="L134" i="3"/>
  <c r="M134" i="3" s="1"/>
  <c r="L116" i="3"/>
  <c r="M116" i="3" s="1"/>
  <c r="L115" i="3"/>
  <c r="M115" i="3" s="1"/>
  <c r="L112" i="3"/>
  <c r="M112" i="3" s="1"/>
  <c r="L111" i="3"/>
  <c r="M111" i="3" s="1"/>
  <c r="L109" i="3"/>
  <c r="M109" i="3" s="1"/>
  <c r="L108" i="3"/>
  <c r="M108" i="3" s="1"/>
  <c r="L107" i="3"/>
  <c r="M107" i="3" s="1"/>
  <c r="L105" i="3"/>
  <c r="M105" i="3" s="1"/>
  <c r="L104" i="3"/>
  <c r="M104" i="3" s="1"/>
  <c r="L103" i="3"/>
  <c r="M103" i="3" s="1"/>
  <c r="L174" i="3"/>
  <c r="M174" i="3" s="1"/>
  <c r="L173" i="3"/>
  <c r="M173" i="3" s="1"/>
  <c r="L172" i="3"/>
  <c r="M172" i="3" s="1"/>
  <c r="G177" i="3" l="1"/>
  <c r="C20" i="13" l="1"/>
  <c r="C21" i="13" s="1"/>
  <c r="C23" i="13" l="1"/>
  <c r="L44" i="3"/>
  <c r="M44" i="3" s="1"/>
  <c r="L43" i="3"/>
  <c r="M43" i="3" s="1"/>
  <c r="J49" i="3"/>
  <c r="J48" i="3"/>
  <c r="H190" i="3" l="1"/>
  <c r="H181" i="3"/>
  <c r="H137" i="3"/>
  <c r="H48" i="3"/>
  <c r="H140" i="3"/>
  <c r="H52" i="3"/>
  <c r="G140" i="3" l="1"/>
  <c r="F140" i="3"/>
  <c r="C140" i="3"/>
  <c r="G52" i="3"/>
  <c r="F52" i="3"/>
  <c r="C52" i="3"/>
  <c r="H180" i="3"/>
  <c r="H179" i="3"/>
  <c r="H178" i="3"/>
  <c r="H177" i="3"/>
  <c r="O6" i="14" l="1"/>
  <c r="L191" i="3" l="1"/>
  <c r="M191" i="3" s="1"/>
  <c r="L190" i="3"/>
  <c r="M190" i="3" s="1"/>
  <c r="L189" i="3"/>
  <c r="L188" i="3"/>
  <c r="L187" i="3"/>
  <c r="L185" i="3"/>
  <c r="L184" i="3"/>
  <c r="L181" i="3"/>
  <c r="L180" i="3"/>
  <c r="L179" i="3"/>
  <c r="L178" i="3"/>
  <c r="L177" i="3"/>
  <c r="L170" i="3"/>
  <c r="L169" i="3"/>
  <c r="L168" i="3"/>
  <c r="L167" i="3"/>
  <c r="L166" i="3"/>
  <c r="L164" i="3"/>
  <c r="L163" i="3"/>
  <c r="L162" i="3"/>
  <c r="L161" i="3"/>
  <c r="L160" i="3"/>
  <c r="L158" i="3"/>
  <c r="L157" i="3"/>
  <c r="L156" i="3"/>
  <c r="L155" i="3"/>
  <c r="L154" i="3"/>
  <c r="L152" i="3"/>
  <c r="L151" i="3"/>
  <c r="L150" i="3"/>
  <c r="L149" i="3"/>
  <c r="L148" i="3"/>
  <c r="L146" i="3"/>
  <c r="L145" i="3"/>
  <c r="L144" i="3"/>
  <c r="L143" i="3"/>
  <c r="L142" i="3"/>
  <c r="L138" i="3"/>
  <c r="M138" i="3" s="1"/>
  <c r="L137" i="3"/>
  <c r="M137" i="3" s="1"/>
  <c r="L136" i="3"/>
  <c r="L135" i="3"/>
  <c r="L133" i="3"/>
  <c r="L132" i="3"/>
  <c r="L130" i="3"/>
  <c r="L129" i="3"/>
  <c r="L128" i="3"/>
  <c r="L127" i="3"/>
  <c r="L58" i="3"/>
  <c r="L57" i="3"/>
  <c r="L56" i="3"/>
  <c r="L55" i="3"/>
  <c r="L54" i="3"/>
  <c r="L100" i="3"/>
  <c r="L99" i="3"/>
  <c r="L98" i="3"/>
  <c r="L97" i="3"/>
  <c r="L96" i="3"/>
  <c r="L95" i="3"/>
  <c r="L93" i="3"/>
  <c r="L92" i="3"/>
  <c r="L91" i="3"/>
  <c r="L90" i="3"/>
  <c r="L89" i="3"/>
  <c r="L88" i="3"/>
  <c r="L86" i="3"/>
  <c r="L85" i="3"/>
  <c r="L84" i="3"/>
  <c r="L83" i="3"/>
  <c r="L82" i="3"/>
  <c r="L81" i="3"/>
  <c r="L79" i="3"/>
  <c r="L78" i="3"/>
  <c r="L77" i="3"/>
  <c r="L76" i="3"/>
  <c r="L75" i="3"/>
  <c r="L74" i="3"/>
  <c r="L72" i="3"/>
  <c r="L71" i="3"/>
  <c r="L70" i="3"/>
  <c r="L69" i="3"/>
  <c r="L68" i="3"/>
  <c r="L67" i="3"/>
  <c r="L65" i="3"/>
  <c r="L64" i="3"/>
  <c r="L63" i="3"/>
  <c r="L62" i="3"/>
  <c r="L61" i="3"/>
  <c r="L60" i="3"/>
  <c r="L49" i="3"/>
  <c r="M49" i="3" s="1"/>
  <c r="L48" i="3"/>
  <c r="M48" i="3" s="1"/>
  <c r="L42" i="3"/>
  <c r="L41" i="3"/>
  <c r="L40" i="3"/>
  <c r="L36" i="3"/>
  <c r="L39" i="3"/>
  <c r="L47" i="3"/>
  <c r="L46" i="3"/>
  <c r="L45" i="3"/>
  <c r="L34" i="3"/>
  <c r="L31" i="3"/>
  <c r="L29" i="3"/>
  <c r="L28" i="3"/>
  <c r="L14" i="3"/>
  <c r="L15" i="3"/>
  <c r="L16" i="3"/>
  <c r="L18" i="3"/>
  <c r="L19" i="3"/>
  <c r="L20" i="3"/>
  <c r="L21" i="3"/>
  <c r="L23" i="3"/>
  <c r="L24" i="3"/>
  <c r="L25" i="3"/>
  <c r="L26" i="3"/>
  <c r="L13" i="3"/>
  <c r="D36" i="3" l="1"/>
  <c r="D25" i="3"/>
  <c r="D15" i="3"/>
  <c r="D62" i="3"/>
  <c r="D57" i="3"/>
  <c r="D35" i="3"/>
  <c r="D24" i="3"/>
  <c r="D16" i="3"/>
  <c r="D123" i="3"/>
  <c r="D88" i="3"/>
  <c r="D69" i="3"/>
  <c r="D60" i="3"/>
  <c r="D146" i="3"/>
  <c r="D142" i="3"/>
  <c r="D121" i="3"/>
  <c r="D99" i="3"/>
  <c r="D95" i="3"/>
  <c r="D90" i="3"/>
  <c r="D85" i="3"/>
  <c r="D81" i="3"/>
  <c r="D76" i="3"/>
  <c r="D71" i="3"/>
  <c r="D67" i="3"/>
  <c r="D34" i="3"/>
  <c r="D23" i="3"/>
  <c r="D13" i="3"/>
  <c r="D119" i="3"/>
  <c r="D74" i="3"/>
  <c r="D19" i="3"/>
  <c r="D174" i="3"/>
  <c r="D145" i="3"/>
  <c r="D124" i="3"/>
  <c r="D120" i="3"/>
  <c r="D98" i="3"/>
  <c r="D93" i="3"/>
  <c r="D89" i="3"/>
  <c r="D84" i="3"/>
  <c r="D79" i="3"/>
  <c r="D75" i="3"/>
  <c r="D70" i="3"/>
  <c r="D65" i="3"/>
  <c r="D61" i="3"/>
  <c r="D56" i="3"/>
  <c r="D32" i="3"/>
  <c r="D21" i="3"/>
  <c r="D173" i="3"/>
  <c r="D97" i="3"/>
  <c r="D78" i="3"/>
  <c r="D29" i="3"/>
  <c r="H29" i="3" s="1"/>
  <c r="D28" i="3"/>
  <c r="H28" i="3" s="1"/>
  <c r="D31" i="3"/>
  <c r="D20" i="3"/>
  <c r="D144" i="3"/>
  <c r="D92" i="3"/>
  <c r="D83" i="3"/>
  <c r="D64" i="3"/>
  <c r="D55" i="3"/>
  <c r="D18" i="3"/>
  <c r="D172" i="3"/>
  <c r="D143" i="3"/>
  <c r="D122" i="3"/>
  <c r="D100" i="3"/>
  <c r="D96" i="3"/>
  <c r="D91" i="3"/>
  <c r="D86" i="3"/>
  <c r="D82" i="3"/>
  <c r="D77" i="3"/>
  <c r="D72" i="3"/>
  <c r="D68" i="3"/>
  <c r="D63" i="3"/>
  <c r="D58" i="3"/>
  <c r="D54" i="3"/>
  <c r="D26" i="3"/>
  <c r="D14" i="3"/>
  <c r="H44" i="3"/>
  <c r="H43" i="3"/>
  <c r="H131" i="3"/>
  <c r="H39" i="3"/>
  <c r="J134" i="3"/>
  <c r="H166" i="3"/>
  <c r="J135" i="3"/>
  <c r="H167" i="3"/>
  <c r="J136" i="3"/>
  <c r="H169" i="3"/>
  <c r="H170" i="3"/>
  <c r="H168" i="3"/>
  <c r="M179" i="3"/>
  <c r="M189" i="3"/>
  <c r="M187" i="3"/>
  <c r="M184" i="3"/>
  <c r="M180" i="3"/>
  <c r="M177" i="3"/>
  <c r="H186" i="3" l="1"/>
  <c r="J186" i="3"/>
  <c r="H38" i="3"/>
  <c r="J38" i="3"/>
  <c r="J126" i="3"/>
  <c r="H126" i="3"/>
  <c r="M160" i="3"/>
  <c r="M162" i="3"/>
  <c r="M178" i="3"/>
  <c r="M185" i="3"/>
  <c r="M145" i="3"/>
  <c r="M146" i="3"/>
  <c r="M149" i="3"/>
  <c r="M151" i="3"/>
  <c r="M166" i="3"/>
  <c r="M168" i="3"/>
  <c r="M181" i="3"/>
  <c r="M188" i="3"/>
  <c r="M154" i="3"/>
  <c r="M156" i="3"/>
  <c r="M143" i="3"/>
  <c r="M152" i="3"/>
  <c r="M161" i="3"/>
  <c r="M163" i="3"/>
  <c r="M142" i="3"/>
  <c r="M144" i="3"/>
  <c r="M148" i="3"/>
  <c r="M150" i="3"/>
  <c r="M164" i="3"/>
  <c r="M167" i="3"/>
  <c r="M169" i="3"/>
  <c r="M170" i="3"/>
  <c r="M155" i="3"/>
  <c r="M157" i="3"/>
  <c r="M158" i="3"/>
  <c r="H151" i="3" l="1"/>
  <c r="M135" i="3"/>
  <c r="M42" i="3"/>
  <c r="M41" i="3"/>
  <c r="M40" i="3"/>
  <c r="M36" i="3"/>
  <c r="M39" i="3"/>
  <c r="M47" i="3"/>
  <c r="M46" i="3"/>
  <c r="M45" i="3"/>
  <c r="M34" i="3"/>
  <c r="M31" i="3"/>
  <c r="M29" i="3"/>
  <c r="M28" i="3"/>
  <c r="M26" i="3"/>
  <c r="M25" i="3"/>
  <c r="M24" i="3"/>
  <c r="M23" i="3"/>
  <c r="M21" i="3"/>
  <c r="M20" i="3"/>
  <c r="M19" i="3"/>
  <c r="M18" i="3"/>
  <c r="M16" i="3"/>
  <c r="M15" i="3"/>
  <c r="M14" i="3"/>
  <c r="M13" i="3"/>
  <c r="J151" i="3" l="1"/>
  <c r="J148" i="3"/>
  <c r="H148" i="3"/>
  <c r="J152" i="3"/>
  <c r="H152" i="3"/>
  <c r="J149" i="3"/>
  <c r="H149" i="3"/>
  <c r="J150" i="3"/>
  <c r="H150" i="3"/>
  <c r="M63" i="3"/>
  <c r="M67" i="3"/>
  <c r="M71" i="3"/>
  <c r="M75" i="3"/>
  <c r="M79" i="3"/>
  <c r="M83" i="3"/>
  <c r="M91" i="3"/>
  <c r="M96" i="3"/>
  <c r="M100" i="3"/>
  <c r="M55" i="3"/>
  <c r="M136" i="3"/>
  <c r="M60" i="3"/>
  <c r="M64" i="3"/>
  <c r="M68" i="3"/>
  <c r="M72" i="3"/>
  <c r="M76" i="3"/>
  <c r="M84" i="3"/>
  <c r="M88" i="3"/>
  <c r="M92" i="3"/>
  <c r="M97" i="3"/>
  <c r="M56" i="3"/>
  <c r="M127" i="3"/>
  <c r="M130" i="3"/>
  <c r="M133" i="3"/>
  <c r="M61" i="3"/>
  <c r="M65" i="3"/>
  <c r="M69" i="3"/>
  <c r="M77" i="3"/>
  <c r="M81" i="3"/>
  <c r="M85" i="3"/>
  <c r="M89" i="3"/>
  <c r="M93" i="3"/>
  <c r="M98" i="3"/>
  <c r="M57" i="3"/>
  <c r="M128" i="3"/>
  <c r="M62" i="3"/>
  <c r="M70" i="3"/>
  <c r="M74" i="3"/>
  <c r="M78" i="3"/>
  <c r="M82" i="3"/>
  <c r="M86" i="3"/>
  <c r="M90" i="3"/>
  <c r="M95" i="3"/>
  <c r="M99" i="3"/>
  <c r="M54" i="3"/>
  <c r="M58" i="3"/>
  <c r="M129" i="3"/>
  <c r="M132" i="3"/>
  <c r="H156" i="3" l="1"/>
  <c r="H160" i="3"/>
  <c r="H161" i="3"/>
  <c r="J168" i="3"/>
  <c r="J166" i="3"/>
  <c r="J170" i="3"/>
  <c r="J29" i="3"/>
  <c r="J28" i="3"/>
  <c r="J169" i="3"/>
  <c r="J167" i="3"/>
  <c r="F146" i="3" l="1"/>
  <c r="F142" i="3"/>
  <c r="F121" i="3"/>
  <c r="F99" i="3"/>
  <c r="F95" i="3"/>
  <c r="F90" i="3"/>
  <c r="F85" i="3"/>
  <c r="F81" i="3"/>
  <c r="F76" i="3"/>
  <c r="F71" i="3"/>
  <c r="F67" i="3"/>
  <c r="F62" i="3"/>
  <c r="F143" i="3"/>
  <c r="F91" i="3"/>
  <c r="F82" i="3"/>
  <c r="F63" i="3"/>
  <c r="F174" i="3"/>
  <c r="F145" i="3"/>
  <c r="F124" i="3"/>
  <c r="F120" i="3"/>
  <c r="F98" i="3"/>
  <c r="F93" i="3"/>
  <c r="F89" i="3"/>
  <c r="F84" i="3"/>
  <c r="F79" i="3"/>
  <c r="F75" i="3"/>
  <c r="F70" i="3"/>
  <c r="F65" i="3"/>
  <c r="F61" i="3"/>
  <c r="F100" i="3"/>
  <c r="F72" i="3"/>
  <c r="F122" i="3"/>
  <c r="F77" i="3"/>
  <c r="F173" i="3"/>
  <c r="F144" i="3"/>
  <c r="F123" i="3"/>
  <c r="F119" i="3"/>
  <c r="F97" i="3"/>
  <c r="F92" i="3"/>
  <c r="F88" i="3"/>
  <c r="F83" i="3"/>
  <c r="F78" i="3"/>
  <c r="F74" i="3"/>
  <c r="F69" i="3"/>
  <c r="F64" i="3"/>
  <c r="F60" i="3"/>
  <c r="F172" i="3"/>
  <c r="F96" i="3"/>
  <c r="F86" i="3"/>
  <c r="F68" i="3"/>
  <c r="F35" i="3"/>
  <c r="H113" i="3"/>
  <c r="H117" i="3"/>
  <c r="H134" i="3"/>
  <c r="J160" i="3"/>
  <c r="J162" i="3"/>
  <c r="H162" i="3"/>
  <c r="J161" i="3"/>
  <c r="J163" i="3"/>
  <c r="H163" i="3"/>
  <c r="J164" i="3"/>
  <c r="H164" i="3"/>
  <c r="J154" i="3"/>
  <c r="H154" i="3"/>
  <c r="J156" i="3"/>
  <c r="J157" i="3"/>
  <c r="H157" i="3"/>
  <c r="J158" i="3"/>
  <c r="H158" i="3"/>
  <c r="J155" i="3"/>
  <c r="H155" i="3"/>
  <c r="F36" i="3"/>
  <c r="F16" i="3"/>
  <c r="F18" i="3"/>
  <c r="F24" i="3"/>
  <c r="F20" i="3"/>
  <c r="F19" i="3"/>
  <c r="F14" i="3"/>
  <c r="F15" i="3"/>
  <c r="F25" i="3"/>
  <c r="F21" i="3"/>
  <c r="F26" i="3"/>
  <c r="F13" i="3"/>
  <c r="F23" i="3"/>
  <c r="J180" i="3"/>
  <c r="J178" i="3"/>
  <c r="J181" i="3"/>
  <c r="J179" i="3"/>
  <c r="J177" i="3"/>
  <c r="F34" i="3"/>
  <c r="H35" i="3" l="1"/>
  <c r="H119" i="3"/>
  <c r="J119" i="3"/>
  <c r="H124" i="3"/>
  <c r="J124" i="3"/>
  <c r="H122" i="3"/>
  <c r="J122" i="3"/>
  <c r="H121" i="3"/>
  <c r="J121" i="3"/>
  <c r="H123" i="3"/>
  <c r="J123" i="3"/>
  <c r="H120" i="3"/>
  <c r="J120" i="3"/>
  <c r="J43" i="3"/>
  <c r="J109" i="3"/>
  <c r="H109" i="3"/>
  <c r="J103" i="3"/>
  <c r="H103" i="3"/>
  <c r="J112" i="3"/>
  <c r="H112" i="3"/>
  <c r="J116" i="3"/>
  <c r="H116" i="3"/>
  <c r="J115" i="3"/>
  <c r="H115" i="3"/>
  <c r="J108" i="3"/>
  <c r="H108" i="3"/>
  <c r="J105" i="3"/>
  <c r="H105" i="3"/>
  <c r="J172" i="3"/>
  <c r="H172" i="3"/>
  <c r="J107" i="3"/>
  <c r="H107" i="3"/>
  <c r="J104" i="3"/>
  <c r="H104" i="3"/>
  <c r="J44" i="3"/>
  <c r="J111" i="3"/>
  <c r="H111" i="3"/>
  <c r="C8" i="3"/>
  <c r="H13" i="3"/>
  <c r="C7" i="3"/>
  <c r="C9" i="3"/>
  <c r="J31" i="3"/>
  <c r="H31" i="3"/>
  <c r="J32" i="3"/>
  <c r="H32" i="3"/>
  <c r="J45" i="3"/>
  <c r="H45" i="3"/>
  <c r="J60" i="3"/>
  <c r="H60" i="3"/>
  <c r="J95" i="3"/>
  <c r="H95" i="3"/>
  <c r="J70" i="3"/>
  <c r="H70" i="3"/>
  <c r="J92" i="3"/>
  <c r="H92" i="3"/>
  <c r="J146" i="3"/>
  <c r="H146" i="3"/>
  <c r="J63" i="3"/>
  <c r="H63" i="3"/>
  <c r="J89" i="3"/>
  <c r="H89" i="3"/>
  <c r="J189" i="3"/>
  <c r="H189" i="3"/>
  <c r="J19" i="3"/>
  <c r="H19" i="3"/>
  <c r="J68" i="3"/>
  <c r="H68" i="3"/>
  <c r="J54" i="3"/>
  <c r="H54" i="3"/>
  <c r="J62" i="3"/>
  <c r="H62" i="3"/>
  <c r="J83" i="3"/>
  <c r="H83" i="3"/>
  <c r="H135" i="3"/>
  <c r="J55" i="3"/>
  <c r="H55" i="3"/>
  <c r="J129" i="3"/>
  <c r="H129" i="3"/>
  <c r="J91" i="3"/>
  <c r="H91" i="3"/>
  <c r="J174" i="3"/>
  <c r="H174" i="3"/>
  <c r="J23" i="3"/>
  <c r="H23" i="3"/>
  <c r="J20" i="3"/>
  <c r="H20" i="3"/>
  <c r="J34" i="3"/>
  <c r="H34" i="3"/>
  <c r="J42" i="3"/>
  <c r="H42" i="3"/>
  <c r="J76" i="3"/>
  <c r="H76" i="3"/>
  <c r="J56" i="3"/>
  <c r="H56" i="3"/>
  <c r="J65" i="3"/>
  <c r="H65" i="3"/>
  <c r="J75" i="3"/>
  <c r="H75" i="3"/>
  <c r="J88" i="3"/>
  <c r="H88" i="3"/>
  <c r="J97" i="3"/>
  <c r="H97" i="3"/>
  <c r="J143" i="3"/>
  <c r="H143" i="3"/>
  <c r="J185" i="3"/>
  <c r="H185" i="3"/>
  <c r="J85" i="3"/>
  <c r="H85" i="3"/>
  <c r="J57" i="3"/>
  <c r="H57" i="3"/>
  <c r="J130" i="3"/>
  <c r="H130" i="3"/>
  <c r="J184" i="3"/>
  <c r="H184" i="3"/>
  <c r="J69" i="3"/>
  <c r="H69" i="3"/>
  <c r="J79" i="3"/>
  <c r="H79" i="3"/>
  <c r="J133" i="3"/>
  <c r="H133" i="3"/>
  <c r="J15" i="3"/>
  <c r="H15" i="3"/>
  <c r="J24" i="3"/>
  <c r="H24" i="3"/>
  <c r="J39" i="3"/>
  <c r="J46" i="3"/>
  <c r="H46" i="3"/>
  <c r="J41" i="3"/>
  <c r="H41" i="3"/>
  <c r="J86" i="3"/>
  <c r="H86" i="3"/>
  <c r="J81" i="3"/>
  <c r="H81" i="3"/>
  <c r="J58" i="3"/>
  <c r="H58" i="3"/>
  <c r="J72" i="3"/>
  <c r="H72" i="3"/>
  <c r="J74" i="3"/>
  <c r="H74" i="3"/>
  <c r="J98" i="3"/>
  <c r="H98" i="3"/>
  <c r="J128" i="3"/>
  <c r="H128" i="3"/>
  <c r="J21" i="3"/>
  <c r="H21" i="3"/>
  <c r="J16" i="3"/>
  <c r="H16" i="3"/>
  <c r="J40" i="3"/>
  <c r="H40" i="3"/>
  <c r="J93" i="3"/>
  <c r="H93" i="3"/>
  <c r="J77" i="3"/>
  <c r="H77" i="3"/>
  <c r="J100" i="3"/>
  <c r="H100" i="3"/>
  <c r="J132" i="3"/>
  <c r="H132" i="3"/>
  <c r="J25" i="3"/>
  <c r="H25" i="3"/>
  <c r="J47" i="3"/>
  <c r="H47" i="3"/>
  <c r="J36" i="3"/>
  <c r="H36" i="3"/>
  <c r="J84" i="3"/>
  <c r="H84" i="3"/>
  <c r="H136" i="3"/>
  <c r="J67" i="3"/>
  <c r="H67" i="3"/>
  <c r="J78" i="3"/>
  <c r="H78" i="3"/>
  <c r="J90" i="3"/>
  <c r="H90" i="3"/>
  <c r="J99" i="3"/>
  <c r="H99" i="3"/>
  <c r="J127" i="3"/>
  <c r="H127" i="3"/>
  <c r="J145" i="3"/>
  <c r="H145" i="3"/>
  <c r="J188" i="3"/>
  <c r="H188" i="3"/>
  <c r="J64" i="3"/>
  <c r="H64" i="3"/>
  <c r="J96" i="3"/>
  <c r="H96" i="3"/>
  <c r="J142" i="3"/>
  <c r="H142" i="3"/>
  <c r="J61" i="3"/>
  <c r="H61" i="3"/>
  <c r="J71" i="3"/>
  <c r="H71" i="3"/>
  <c r="J82" i="3"/>
  <c r="H82" i="3"/>
  <c r="J173" i="3"/>
  <c r="H173" i="3"/>
  <c r="J144" i="3"/>
  <c r="H144" i="3"/>
  <c r="J187" i="3"/>
  <c r="H187" i="3"/>
  <c r="J26" i="3"/>
  <c r="H26" i="3"/>
  <c r="J14" i="3"/>
  <c r="H14" i="3"/>
  <c r="J18" i="3"/>
  <c r="H18" i="3"/>
  <c r="J13" i="3"/>
</calcChain>
</file>

<file path=xl/sharedStrings.xml><?xml version="1.0" encoding="utf-8"?>
<sst xmlns="http://schemas.openxmlformats.org/spreadsheetml/2006/main" count="432" uniqueCount="300">
  <si>
    <t>City of Winters</t>
  </si>
  <si>
    <t>Off Cycle Disposal Adjustments, Effective 7/1/2022 and 1/1/2023</t>
  </si>
  <si>
    <t>Off Cycle Disposal Adjustment</t>
  </si>
  <si>
    <t>Typical Residential Service Bundle Summary - New Rates</t>
  </si>
  <si>
    <t>1-32g Trash/1-96g Recycle/1-96g Green Waste/Yearly Bulky</t>
  </si>
  <si>
    <t>7/1/22 Disposal Correction</t>
  </si>
  <si>
    <t>1-64g Trash/1-96g Recycle/1-96g Green Waste/Yearly Bulky</t>
  </si>
  <si>
    <t>1/1/2023 MSW Disposal Change</t>
  </si>
  <si>
    <t>1-96g Trash/1-96g Recycle/1-96g Green Waste/Yearly Bulky</t>
  </si>
  <si>
    <t>SINGLE FAMILY COLLECTION SERVICES</t>
  </si>
  <si>
    <t>Current Monthly Rate</t>
  </si>
  <si>
    <t>7/1/2022 - Disposal Correction</t>
  </si>
  <si>
    <t>7/1/2022 - Total Correction</t>
  </si>
  <si>
    <t>1/1/2023 Disposal Passthrough</t>
  </si>
  <si>
    <t>New Total Monthly Rate (includes franchise charge)</t>
  </si>
  <si>
    <t>Estimated Franchise Charge</t>
  </si>
  <si>
    <t>Rate Change</t>
  </si>
  <si>
    <t>MAS Code</t>
  </si>
  <si>
    <t>MAS Rate</t>
  </si>
  <si>
    <t>MAS Check</t>
  </si>
  <si>
    <t>SOLID WASTE COLLECTION</t>
  </si>
  <si>
    <t>1 - 32 gallon</t>
  </si>
  <si>
    <t>B1S</t>
  </si>
  <si>
    <t>2 - 32 gallon</t>
  </si>
  <si>
    <t>B2S</t>
  </si>
  <si>
    <t>3 - 32 gallon</t>
  </si>
  <si>
    <t>B3S</t>
  </si>
  <si>
    <t>4 - 32 gallon</t>
  </si>
  <si>
    <t>B4S</t>
  </si>
  <si>
    <t>1 - 64 gallon</t>
  </si>
  <si>
    <t>H1S</t>
  </si>
  <si>
    <t>2 - 64 gallon</t>
  </si>
  <si>
    <t>H2S</t>
  </si>
  <si>
    <t>3 - 64 gallon</t>
  </si>
  <si>
    <t>H3S</t>
  </si>
  <si>
    <t>4 - 64 gallon</t>
  </si>
  <si>
    <t>H4S</t>
  </si>
  <si>
    <t>1 - 96 gallon</t>
  </si>
  <si>
    <t>K1S</t>
  </si>
  <si>
    <t>2 - 96 gallon</t>
  </si>
  <si>
    <t>K2S</t>
  </si>
  <si>
    <t>3 - 96 gallon</t>
  </si>
  <si>
    <t>K3S</t>
  </si>
  <si>
    <t>4 - 96 gallon</t>
  </si>
  <si>
    <t>K4S</t>
  </si>
  <si>
    <t>RECYCLING</t>
  </si>
  <si>
    <t>K1Y</t>
  </si>
  <si>
    <t>K2Y</t>
  </si>
  <si>
    <t>GREEN WASTE</t>
  </si>
  <si>
    <t>96 Gallon Cart EOW + Loose Piles + Leaf Drop Season</t>
  </si>
  <si>
    <t>K1G</t>
  </si>
  <si>
    <t>Add'l Cubic Yard</t>
  </si>
  <si>
    <t>LARGE ITEM COLLECTION</t>
  </si>
  <si>
    <t>Single Family Yearly Bulky Pickup - Up to 4 Cu Yds - charged on residential accounts</t>
  </si>
  <si>
    <t>SBS</t>
  </si>
  <si>
    <t>Multi Family Yearly Bulky Pickup - Up to 2 Cu Yds - charged on residential accounts</t>
  </si>
  <si>
    <t>Additional bulky pickup after included yearly pickup - per yard up to 4 cu yds</t>
  </si>
  <si>
    <t>BLS</t>
  </si>
  <si>
    <t>SPECIAL SERVICE CHARGES / ANCILLARY CHARGES</t>
  </si>
  <si>
    <t>Backyard/Sideyard Pickup Charge</t>
  </si>
  <si>
    <t>N/A</t>
  </si>
  <si>
    <t>RPC</t>
  </si>
  <si>
    <t>Backyard/Sideyard Pickup Charge - Disabled Customers</t>
  </si>
  <si>
    <t>Vacation Stop/Restart per incident</t>
  </si>
  <si>
    <t>Reactivation Charge  (if due to non payment) - no delivery</t>
  </si>
  <si>
    <t>Reactivation Charge (if due to non payment) -  with delivery</t>
  </si>
  <si>
    <t>Contamination Per Incident- Recycle or Green Waste*</t>
  </si>
  <si>
    <t>Overage per incident - all commodoties*</t>
  </si>
  <si>
    <t>32 gallon Cart Exchange/Delivery</t>
  </si>
  <si>
    <t>DSR</t>
  </si>
  <si>
    <t>64 gallon Cart Exchange/Delivery</t>
  </si>
  <si>
    <t>96 gallon Cart Exchange/Delivery</t>
  </si>
  <si>
    <t>Bad Check Charge per incident</t>
  </si>
  <si>
    <t>Finance / Late Payment Charge</t>
  </si>
  <si>
    <t>2.5% or minimum $5.00</t>
  </si>
  <si>
    <t>*Contamination and Overage charges are charged per cart per incident after 1 written warning.</t>
  </si>
  <si>
    <t>COMMERCIAL COLLECTION SERVICES</t>
  </si>
  <si>
    <t>SOLID WASTE COLLECTION*</t>
  </si>
  <si>
    <t>96 gallon cart 1X week</t>
  </si>
  <si>
    <t>K11</t>
  </si>
  <si>
    <t>96 gallon cart 2X week</t>
  </si>
  <si>
    <t>K12</t>
  </si>
  <si>
    <t>96 gallon cart 3X week</t>
  </si>
  <si>
    <t>K13</t>
  </si>
  <si>
    <t>96 gallon cart 4X week</t>
  </si>
  <si>
    <t>K14</t>
  </si>
  <si>
    <t>96 gallon cart 5X week</t>
  </si>
  <si>
    <t>K15</t>
  </si>
  <si>
    <t>1 yd 1X week</t>
  </si>
  <si>
    <t>111</t>
  </si>
  <si>
    <t>1 yd 2X week</t>
  </si>
  <si>
    <t>112</t>
  </si>
  <si>
    <t>1 yd 3X week</t>
  </si>
  <si>
    <t>113</t>
  </si>
  <si>
    <t>1 yd 4X week</t>
  </si>
  <si>
    <t>114</t>
  </si>
  <si>
    <t>1 yd 5X week</t>
  </si>
  <si>
    <t>115</t>
  </si>
  <si>
    <t>1 yd 6X week</t>
  </si>
  <si>
    <t>116</t>
  </si>
  <si>
    <t>1.5 yd 1X week</t>
  </si>
  <si>
    <t>511</t>
  </si>
  <si>
    <t>1.5 yd 2X week</t>
  </si>
  <si>
    <t>512</t>
  </si>
  <si>
    <t>1.5 yd 3X week</t>
  </si>
  <si>
    <t>513</t>
  </si>
  <si>
    <t>1.5 yd 4X week</t>
  </si>
  <si>
    <t>514</t>
  </si>
  <si>
    <t>1.5 yd 5X week</t>
  </si>
  <si>
    <t>515</t>
  </si>
  <si>
    <t>1.5 yd 6X week</t>
  </si>
  <si>
    <t>516</t>
  </si>
  <si>
    <t>2 yd 1X week</t>
  </si>
  <si>
    <t>211</t>
  </si>
  <si>
    <t>2 yd 2X week</t>
  </si>
  <si>
    <t>212</t>
  </si>
  <si>
    <t>2 yd 3X week</t>
  </si>
  <si>
    <t>213</t>
  </si>
  <si>
    <t>2 yd 4X week</t>
  </si>
  <si>
    <t>214</t>
  </si>
  <si>
    <t>2 yd 5X week</t>
  </si>
  <si>
    <t>215</t>
  </si>
  <si>
    <t>2 yd 6X week</t>
  </si>
  <si>
    <t>216</t>
  </si>
  <si>
    <t>3 yd 1X week</t>
  </si>
  <si>
    <t>311</t>
  </si>
  <si>
    <t>3 yd 2X week</t>
  </si>
  <si>
    <t>312</t>
  </si>
  <si>
    <t>3 yd 3X week</t>
  </si>
  <si>
    <t>313</t>
  </si>
  <si>
    <t>3 yd 4X week</t>
  </si>
  <si>
    <t>314</t>
  </si>
  <si>
    <t>3 yd 5X week</t>
  </si>
  <si>
    <t>315</t>
  </si>
  <si>
    <t>3 yd 6X week</t>
  </si>
  <si>
    <t>316</t>
  </si>
  <si>
    <t>4 yd 1X week</t>
  </si>
  <si>
    <t>411</t>
  </si>
  <si>
    <t>4 yd 2X week</t>
  </si>
  <si>
    <t>412</t>
  </si>
  <si>
    <t>4 yd 3X week</t>
  </si>
  <si>
    <t>413</t>
  </si>
  <si>
    <t>4 yd 4X week</t>
  </si>
  <si>
    <t>414</t>
  </si>
  <si>
    <t>4 yd 5X week</t>
  </si>
  <si>
    <t>415</t>
  </si>
  <si>
    <t>4 yd 6X week</t>
  </si>
  <si>
    <t>416</t>
  </si>
  <si>
    <t>6 yd 1X week</t>
  </si>
  <si>
    <t>611</t>
  </si>
  <si>
    <t>6 yd 2X week</t>
  </si>
  <si>
    <t>612</t>
  </si>
  <si>
    <t>6 yd 3X week</t>
  </si>
  <si>
    <t>613</t>
  </si>
  <si>
    <t>6 yd 4X week</t>
  </si>
  <si>
    <t>614</t>
  </si>
  <si>
    <t>6 yd 5X week</t>
  </si>
  <si>
    <t>615</t>
  </si>
  <si>
    <t>6 yd 6X week</t>
  </si>
  <si>
    <t>616</t>
  </si>
  <si>
    <t>*Recycling service is included with trash service rate</t>
  </si>
  <si>
    <t>MIXED ORGANICS RATES</t>
  </si>
  <si>
    <t>32 Gallon Mixed Organics Cart - 1 x Week</t>
  </si>
  <si>
    <t>32 Gallon Mixed Organics Cart - 2 x Week</t>
  </si>
  <si>
    <t>32 Gallon Mixed Organics Cart - 3 x Week</t>
  </si>
  <si>
    <t>64 Gallon Mixed Organics Cart - 1 x Week</t>
  </si>
  <si>
    <t>64 Gallon Mixed Organics Cart - 2 x Week</t>
  </si>
  <si>
    <t>64 Gallon Mixed Organics Cart - 3 x Week</t>
  </si>
  <si>
    <t>2 Yard Mixed Organics Bin* - 1 x Week</t>
  </si>
  <si>
    <t>2 Yard Mixed Organics Bin* - 2 x Week</t>
  </si>
  <si>
    <t>2 Yard Mixed Organics Bin* - 3 x Week</t>
  </si>
  <si>
    <t>3 Yard Mixed Organics Bin* - 1 x Week</t>
  </si>
  <si>
    <t>3 Yard Mixed Organics Bin* - 2 x Week</t>
  </si>
  <si>
    <t>3 Yard Mixed Organics Bin* - 3 x Week</t>
  </si>
  <si>
    <t>EXTRA PICKUP CHARGES</t>
  </si>
  <si>
    <t>1 Yard Extra Pickup</t>
  </si>
  <si>
    <t>Xf1</t>
  </si>
  <si>
    <t>1.5 Yard Extra Pickup</t>
  </si>
  <si>
    <t>XF5</t>
  </si>
  <si>
    <t>2 Yard Extra Pickup</t>
  </si>
  <si>
    <t>XF2</t>
  </si>
  <si>
    <t>3 yard Extra Pickup</t>
  </si>
  <si>
    <t>XF3</t>
  </si>
  <si>
    <t>4 Yard Extra Pickup</t>
  </si>
  <si>
    <t>XF4</t>
  </si>
  <si>
    <t>6 Yard Extra Pickup</t>
  </si>
  <si>
    <t>XF6</t>
  </si>
  <si>
    <t>Push Rates - 0 -75 feet - Per Service Frequency</t>
  </si>
  <si>
    <t>Bin Exchange per incident in excess of 1 time per year</t>
  </si>
  <si>
    <t>Cart Exchange per incident in excess of 1 time per year</t>
  </si>
  <si>
    <t>Bin Key/Unlock charge per bin per month</t>
  </si>
  <si>
    <t>Gate service charges per bin per month</t>
  </si>
  <si>
    <t>Commercial Bin Relocation</t>
  </si>
  <si>
    <t>Excess yards/Snapshot Charge per container per incident</t>
  </si>
  <si>
    <t>Contamination Charge per container per incident</t>
  </si>
  <si>
    <t>Cart or Bin Cleaning Charge in excess of 1 time per year</t>
  </si>
  <si>
    <t>Bad Check Charge</t>
  </si>
  <si>
    <t>INDUSTRIAL COLLECTION SERVICES</t>
  </si>
  <si>
    <t>10 cubic yards - includes 1.75 tons</t>
  </si>
  <si>
    <t>10O</t>
  </si>
  <si>
    <t>20 cubic yards - includes 3 tons</t>
  </si>
  <si>
    <t>20O</t>
  </si>
  <si>
    <t>25 cubic yards - includes 4 tons</t>
  </si>
  <si>
    <t>25O</t>
  </si>
  <si>
    <t>30 cubic yards - includes 5 tons</t>
  </si>
  <si>
    <t>30O</t>
  </si>
  <si>
    <t>40 cubic yards - includes 7 tons</t>
  </si>
  <si>
    <t>40O</t>
  </si>
  <si>
    <t>C&amp;D COLLECTION</t>
  </si>
  <si>
    <t>10D</t>
  </si>
  <si>
    <t>20D</t>
  </si>
  <si>
    <t>25D</t>
  </si>
  <si>
    <t>30D</t>
  </si>
  <si>
    <t>40D</t>
  </si>
  <si>
    <t>GREEN WASTE ONLY COLLECTION (NO FOOD WASTE)</t>
  </si>
  <si>
    <t>10G</t>
  </si>
  <si>
    <t>20G</t>
  </si>
  <si>
    <t>25G</t>
  </si>
  <si>
    <t>30G</t>
  </si>
  <si>
    <t>40G</t>
  </si>
  <si>
    <t>GREEN WASTE / FOOD WASTE MIXED COLLECTION</t>
  </si>
  <si>
    <t>RECYCLE COLLECTION</t>
  </si>
  <si>
    <t>10Y</t>
  </si>
  <si>
    <t>20Y</t>
  </si>
  <si>
    <t>25Y</t>
  </si>
  <si>
    <t>30Y</t>
  </si>
  <si>
    <t>40Y</t>
  </si>
  <si>
    <t>COMPACTOR COLLECTION</t>
  </si>
  <si>
    <t>15yd compactor per haul*</t>
  </si>
  <si>
    <t>15C</t>
  </si>
  <si>
    <t>20yd compactor per haul*</t>
  </si>
  <si>
    <t>20C</t>
  </si>
  <si>
    <t>30yd compactor per haul*</t>
  </si>
  <si>
    <t>30C</t>
  </si>
  <si>
    <t>*Plus disposal.  Industrial Compactor rates do not include disposal</t>
  </si>
  <si>
    <t>EXCESS TONNAGE - Includes Franchise Charges</t>
  </si>
  <si>
    <t>Excess MSW Per Ton*</t>
  </si>
  <si>
    <t>Excess C&amp;D Per Ton*</t>
  </si>
  <si>
    <t>Excess Green Waste (No Food Waste) Per Ton*</t>
  </si>
  <si>
    <t>Excess Green Waste / Food Waste Mixed Per Ton*</t>
  </si>
  <si>
    <t>Excess Recycling Per Ton*</t>
  </si>
  <si>
    <t>*Actual Landfill Rates charged and subject to change</t>
  </si>
  <si>
    <t>RO Inactivity per day Charge after 7 days</t>
  </si>
  <si>
    <t>Trip Charge - unable to service container after customer schedules a haul</t>
  </si>
  <si>
    <t>Relocate Charge</t>
  </si>
  <si>
    <t>REL</t>
  </si>
  <si>
    <t>Delivery Charge</t>
  </si>
  <si>
    <t>Late Payment / Finance Charge</t>
  </si>
  <si>
    <t>All rates include franchise fee</t>
  </si>
  <si>
    <t>CPI Calculation</t>
  </si>
  <si>
    <t>CPI-All Urban Consumers (Current Series)</t>
  </si>
  <si>
    <t>Average CPI for May 2020 Through Apr 2021</t>
  </si>
  <si>
    <t>Average CPI for May 2021 Through Apr 2022</t>
  </si>
  <si>
    <t>Series Id:     CUUR0000SEHG</t>
  </si>
  <si>
    <t>CPI Change</t>
  </si>
  <si>
    <t>Not Seasonally Adjusted</t>
  </si>
  <si>
    <t>CPI Change Percentage</t>
  </si>
  <si>
    <t>Series Title:  Water and sewer and trash collection services in U.S. city average, all urban consumers, not seasonally adjusted</t>
  </si>
  <si>
    <t>Area:          U.S. city average</t>
  </si>
  <si>
    <t>Item:          Water and sewer and trash collection services</t>
  </si>
  <si>
    <t>Base Period:   DECEMBER 1997=100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</si>
  <si>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</si>
  <si>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</si>
  <si>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</si>
  <si>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</si>
  <si>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</si>
  <si>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</si>
  <si>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</si>
  <si>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</si>
  <si>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</si>
  <si>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</si>
  <si>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</si>
  <si>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</si>
  <si>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</si>
  <si>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</si>
  <si>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Yolo County Landfill - Disposal Rate Changes</t>
  </si>
  <si>
    <t>Winters Disposal Cost as Percent of Total Expenses</t>
  </si>
  <si>
    <t>MSW Disposal Rate History</t>
  </si>
  <si>
    <t>District Operating Expenses</t>
  </si>
  <si>
    <t>Same as 7/1/2022 Allocation due to off cycle passthough</t>
  </si>
  <si>
    <t>Disposal Rate</t>
  </si>
  <si>
    <t>Disposal Expenses</t>
  </si>
  <si>
    <t>2017 Disposal Rate - 7/1/17</t>
  </si>
  <si>
    <t>Disposal Cost As Percent of Total Expenses</t>
  </si>
  <si>
    <t>2018 Disposal Rate - 7/1/18</t>
  </si>
  <si>
    <t>2019 Disposal Rate - 7/1/19</t>
  </si>
  <si>
    <t>MSW Disposal Correction</t>
  </si>
  <si>
    <t>2020 Disposal Rate - 7/1/20</t>
  </si>
  <si>
    <t>2021 Disposal Rate - 7/1/21</t>
  </si>
  <si>
    <t>2022 Disposal Rate - 7/1/22 - (incorrectly used)</t>
  </si>
  <si>
    <t>Change in Disposal Rate</t>
  </si>
  <si>
    <t>2022 Disposal Rate - 7/1/22 - (corrected)</t>
  </si>
  <si>
    <t>Percent Change</t>
  </si>
  <si>
    <t>2022 Disposal Rate - 1/1/23 - (Off cycle)</t>
  </si>
  <si>
    <t>Fuel Allocation</t>
  </si>
  <si>
    <t>MSW Disposal Rate Correction</t>
  </si>
  <si>
    <t>MSW Disposal Adj Calc</t>
  </si>
  <si>
    <t>2022 Disposal Rate - 1/1/23 - Off cycle adj</t>
  </si>
  <si>
    <t>2022 Disposal Rate - 7/1/22</t>
  </si>
  <si>
    <t>MSW Disposal Passthrough eff 1/1/2023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</si>
</sst>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.75"/>
      <color rgb="FF000000"/>
      <name val="Arial"/>
      <family val="2"/>
    </font>
    <font>
      <sz val="10"/>
      <color theme="1"/>
      <name val="Arial Unicode MS"/>
    </font>
    <font>
      <b/>
      <sz val="10"/>
      <color theme="1"/>
      <name val="Arial Unicode MS"/>
    </font>
    <font>
      <sz val="10.1"/>
      <color theme="1"/>
      <name val="Tahoma"/>
      <family val="2"/>
    </font>
    <font>
      <b/>
      <sz val="10.1"/>
      <color theme="1"/>
      <name val="Tahoma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BEAFF"/>
        <bgColor indexed="64"/>
      </patternFill>
    </fill>
    <fill>
      <patternFill patternType="solid">
        <fgColor rgb="FFEEF4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999999"/>
      </left>
      <right/>
      <top/>
      <bottom style="medium">
        <color rgb="FF999999"/>
      </bottom>
      <diagonal/>
    </border>
    <border>
      <left style="medium">
        <color rgb="FFAAAAAA"/>
      </left>
      <right/>
      <top style="medium">
        <color rgb="FFAAAAAA"/>
      </top>
      <bottom style="medium">
        <color rgb="FF999999"/>
      </bottom>
      <diagonal/>
    </border>
    <border>
      <left style="medium">
        <color rgb="FF999999"/>
      </left>
      <right/>
      <top style="medium">
        <color rgb="FFAAAAAA"/>
      </top>
      <bottom style="medium">
        <color rgb="FF999999"/>
      </bottom>
      <diagonal/>
    </border>
    <border>
      <left style="medium">
        <color rgb="FFAAAAAA"/>
      </left>
      <right/>
      <top/>
      <bottom style="medium">
        <color rgb="FF999999"/>
      </bottom>
      <diagonal/>
    </border>
    <border>
      <left style="medium">
        <color rgb="FFAAAAAA"/>
      </left>
      <right/>
      <top/>
      <bottom style="medium">
        <color rgb="FFAAAAAA"/>
      </bottom>
      <diagonal/>
    </border>
    <border>
      <left style="medium">
        <color rgb="FF999999"/>
      </left>
      <right/>
      <top/>
      <bottom style="medium">
        <color rgb="FFAAAAAA"/>
      </bottom>
      <diagonal/>
    </border>
    <border>
      <left style="medium">
        <color rgb="FF999999"/>
      </left>
      <right style="medium">
        <color rgb="FF999999"/>
      </right>
      <top style="medium">
        <color rgb="FFAAAAAA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AAAAAA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3">
    <xf numFmtId="0" fontId="0" fillId="0" borderId="0" xfId="0"/>
    <xf numFmtId="0" fontId="2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wrapText="1"/>
    </xf>
    <xf numFmtId="164" fontId="0" fillId="2" borderId="0" xfId="0" applyNumberFormat="1" applyFill="1"/>
    <xf numFmtId="0" fontId="0" fillId="0" borderId="0" xfId="0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wrapText="1"/>
    </xf>
    <xf numFmtId="10" fontId="0" fillId="7" borderId="10" xfId="0" applyNumberFormat="1" applyFill="1" applyBorder="1" applyAlignment="1">
      <alignment horizontal="center"/>
    </xf>
    <xf numFmtId="0" fontId="0" fillId="7" borderId="10" xfId="0" applyFill="1" applyBorder="1" applyAlignment="1">
      <alignment horizontal="center" wrapText="1"/>
    </xf>
    <xf numFmtId="0" fontId="0" fillId="7" borderId="10" xfId="0" applyFill="1" applyBorder="1" applyAlignment="1">
      <alignment horizontal="center"/>
    </xf>
    <xf numFmtId="0" fontId="0" fillId="7" borderId="10" xfId="0" quotePrefix="1" applyFill="1" applyBorder="1" applyAlignment="1">
      <alignment horizontal="center"/>
    </xf>
    <xf numFmtId="164" fontId="1" fillId="7" borderId="10" xfId="0" applyNumberFormat="1" applyFont="1" applyFill="1" applyBorder="1" applyAlignment="1">
      <alignment horizontal="center" wrapText="1"/>
    </xf>
    <xf numFmtId="164" fontId="0" fillId="7" borderId="10" xfId="0" applyNumberFormat="1" applyFill="1" applyBorder="1" applyAlignment="1">
      <alignment horizontal="center"/>
    </xf>
    <xf numFmtId="0" fontId="11" fillId="8" borderId="11" xfId="0" applyFont="1" applyFill="1" applyBorder="1" applyAlignment="1">
      <alignment horizontal="right" vertical="center" indent="1"/>
    </xf>
    <xf numFmtId="0" fontId="11" fillId="12" borderId="11" xfId="0" applyFont="1" applyFill="1" applyBorder="1" applyAlignment="1">
      <alignment horizontal="right" vertical="center" indent="1"/>
    </xf>
    <xf numFmtId="0" fontId="12" fillId="9" borderId="12" xfId="0" applyFont="1" applyFill="1" applyBorder="1" applyAlignment="1">
      <alignment horizontal="center" wrapText="1"/>
    </xf>
    <xf numFmtId="0" fontId="12" fillId="9" borderId="13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5" borderId="16" xfId="0" applyFont="1" applyFill="1" applyBorder="1" applyAlignment="1">
      <alignment horizontal="right" vertical="center" indent="1"/>
    </xf>
    <xf numFmtId="0" fontId="11" fillId="5" borderId="11" xfId="0" applyFont="1" applyFill="1" applyBorder="1" applyAlignment="1">
      <alignment horizontal="right" vertical="center" indent="1"/>
    </xf>
    <xf numFmtId="0" fontId="11" fillId="3" borderId="11" xfId="0" applyFont="1" applyFill="1" applyBorder="1" applyAlignment="1">
      <alignment horizontal="right" vertical="center" indent="1"/>
    </xf>
    <xf numFmtId="0" fontId="12" fillId="9" borderId="17" xfId="0" applyFont="1" applyFill="1" applyBorder="1" applyAlignment="1">
      <alignment horizontal="center" wrapText="1"/>
    </xf>
    <xf numFmtId="0" fontId="11" fillId="8" borderId="18" xfId="0" applyFont="1" applyFill="1" applyBorder="1" applyAlignment="1">
      <alignment horizontal="right" vertical="center" indent="1"/>
    </xf>
    <xf numFmtId="0" fontId="11" fillId="12" borderId="18" xfId="0" applyFont="1" applyFill="1" applyBorder="1" applyAlignment="1">
      <alignment horizontal="right" vertical="center" indent="1"/>
    </xf>
    <xf numFmtId="0" fontId="11" fillId="8" borderId="19" xfId="0" applyFont="1" applyFill="1" applyBorder="1" applyAlignment="1">
      <alignment horizontal="right" vertical="center" indent="1"/>
    </xf>
    <xf numFmtId="0" fontId="11" fillId="0" borderId="11" xfId="0" applyFont="1" applyBorder="1" applyAlignment="1">
      <alignment horizontal="right" vertical="center" indent="1"/>
    </xf>
    <xf numFmtId="0" fontId="12" fillId="11" borderId="14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/>
    <xf numFmtId="0" fontId="13" fillId="0" borderId="0" xfId="0" applyFont="1"/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6" fillId="0" borderId="5" xfId="1" quotePrefix="1" applyFont="1" applyBorder="1" applyAlignment="1">
      <alignment horizontal="left"/>
    </xf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2" borderId="20" xfId="0" applyFill="1" applyBorder="1" applyAlignment="1">
      <alignment horizontal="left" vertical="center"/>
    </xf>
    <xf numFmtId="8" fontId="0" fillId="2" borderId="1" xfId="0" applyNumberFormat="1" applyFill="1" applyBorder="1" applyAlignment="1">
      <alignment horizontal="center"/>
    </xf>
    <xf numFmtId="10" fontId="5" fillId="4" borderId="9" xfId="3" applyNumberFormat="1" applyFont="1" applyFill="1" applyBorder="1" applyAlignment="1">
      <alignment horizontal="center" vertical="center"/>
    </xf>
    <xf numFmtId="0" fontId="5" fillId="0" borderId="7" xfId="1" quotePrefix="1" applyFont="1" applyBorder="1" applyAlignment="1">
      <alignment horizontal="left"/>
    </xf>
    <xf numFmtId="10" fontId="5" fillId="4" borderId="9" xfId="2" applyNumberFormat="1" applyFont="1" applyFill="1" applyBorder="1" applyAlignment="1">
      <alignment horizontal="center"/>
    </xf>
    <xf numFmtId="8" fontId="3" fillId="2" borderId="0" xfId="0" applyNumberFormat="1" applyFont="1" applyFill="1" applyAlignment="1">
      <alignment horizontal="centerContinuous"/>
    </xf>
    <xf numFmtId="8" fontId="0" fillId="2" borderId="0" xfId="0" applyNumberFormat="1" applyFill="1" applyAlignment="1">
      <alignment horizontal="right"/>
    </xf>
    <xf numFmtId="8" fontId="0" fillId="2" borderId="0" xfId="0" applyNumberFormat="1" applyFill="1"/>
    <xf numFmtId="8" fontId="0" fillId="2" borderId="1" xfId="0" applyNumberFormat="1" applyFill="1" applyBorder="1" applyAlignment="1">
      <alignment horizontal="center" vertical="center"/>
    </xf>
    <xf numFmtId="8" fontId="0" fillId="2" borderId="8" xfId="0" applyNumberFormat="1" applyFill="1" applyBorder="1" applyAlignment="1">
      <alignment horizontal="center" vertical="center" wrapText="1"/>
    </xf>
    <xf numFmtId="8" fontId="0" fillId="2" borderId="0" xfId="0" applyNumberFormat="1" applyFill="1" applyAlignment="1">
      <alignment horizontal="center"/>
    </xf>
    <xf numFmtId="8" fontId="0" fillId="2" borderId="8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0" fillId="7" borderId="10" xfId="0" applyNumberFormat="1" applyFill="1" applyBorder="1" applyAlignment="1">
      <alignment horizontal="center" wrapText="1"/>
    </xf>
    <xf numFmtId="0" fontId="0" fillId="0" borderId="4" xfId="0" applyBorder="1"/>
    <xf numFmtId="8" fontId="0" fillId="0" borderId="1" xfId="0" applyNumberFormat="1" applyBorder="1" applyAlignment="1">
      <alignment horizontal="center"/>
    </xf>
    <xf numFmtId="164" fontId="0" fillId="2" borderId="0" xfId="0" applyNumberFormat="1" applyFill="1" applyAlignment="1">
      <alignment horizontal="center" vertical="center" wrapText="1"/>
    </xf>
    <xf numFmtId="8" fontId="0" fillId="2" borderId="0" xfId="0" applyNumberFormat="1" applyFill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9" fontId="0" fillId="2" borderId="1" xfId="0" applyNumberFormat="1" applyFill="1" applyBorder="1" applyAlignment="1">
      <alignment horizontal="center"/>
    </xf>
    <xf numFmtId="0" fontId="14" fillId="5" borderId="23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8" fontId="1" fillId="5" borderId="24" xfId="0" applyNumberFormat="1" applyFont="1" applyFill="1" applyBorder="1" applyAlignment="1">
      <alignment horizontal="center" vertical="center" wrapText="1"/>
    </xf>
    <xf numFmtId="0" fontId="0" fillId="14" borderId="21" xfId="0" applyFill="1" applyBorder="1" applyAlignment="1">
      <alignment wrapText="1"/>
    </xf>
    <xf numFmtId="0" fontId="1" fillId="14" borderId="4" xfId="0" applyFont="1" applyFill="1" applyBorder="1" applyAlignment="1">
      <alignment horizontal="left" vertical="center"/>
    </xf>
    <xf numFmtId="0" fontId="0" fillId="14" borderId="22" xfId="0" applyFill="1" applyBorder="1" applyAlignment="1">
      <alignment wrapText="1"/>
    </xf>
    <xf numFmtId="0" fontId="14" fillId="6" borderId="23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8" fontId="1" fillId="6" borderId="24" xfId="0" applyNumberFormat="1" applyFont="1" applyFill="1" applyBorder="1" applyAlignment="1">
      <alignment horizontal="center" vertical="center" wrapText="1"/>
    </xf>
    <xf numFmtId="0" fontId="1" fillId="15" borderId="4" xfId="0" applyFont="1" applyFill="1" applyBorder="1" applyAlignment="1">
      <alignment horizontal="left" vertical="center"/>
    </xf>
    <xf numFmtId="0" fontId="0" fillId="15" borderId="21" xfId="0" applyFill="1" applyBorder="1" applyAlignment="1">
      <alignment wrapText="1"/>
    </xf>
    <xf numFmtId="0" fontId="0" fillId="15" borderId="22" xfId="0" applyFill="1" applyBorder="1" applyAlignment="1">
      <alignment wrapText="1"/>
    </xf>
    <xf numFmtId="0" fontId="14" fillId="3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8" fontId="1" fillId="3" borderId="24" xfId="0" applyNumberFormat="1" applyFont="1" applyFill="1" applyBorder="1" applyAlignment="1">
      <alignment horizontal="center" vertical="center" wrapText="1"/>
    </xf>
    <xf numFmtId="0" fontId="1" fillId="16" borderId="4" xfId="0" applyFont="1" applyFill="1" applyBorder="1" applyAlignment="1">
      <alignment horizontal="left" vertical="center"/>
    </xf>
    <xf numFmtId="0" fontId="0" fillId="16" borderId="21" xfId="0" applyFill="1" applyBorder="1" applyAlignment="1">
      <alignment wrapText="1"/>
    </xf>
    <xf numFmtId="0" fontId="0" fillId="16" borderId="22" xfId="0" applyFill="1" applyBorder="1" applyAlignment="1">
      <alignment wrapText="1"/>
    </xf>
    <xf numFmtId="1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0" fontId="1" fillId="4" borderId="24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 wrapText="1"/>
    </xf>
    <xf numFmtId="164" fontId="0" fillId="2" borderId="21" xfId="0" applyNumberFormat="1" applyFill="1" applyBorder="1" applyAlignment="1">
      <alignment horizontal="center" vertical="center"/>
    </xf>
    <xf numFmtId="8" fontId="0" fillId="2" borderId="21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10" fontId="1" fillId="0" borderId="28" xfId="0" applyNumberFormat="1" applyFont="1" applyBorder="1" applyAlignment="1">
      <alignment horizontal="center"/>
    </xf>
    <xf numFmtId="0" fontId="0" fillId="2" borderId="28" xfId="0" applyFill="1" applyBorder="1" applyAlignment="1">
      <alignment horizontal="center" vertical="center"/>
    </xf>
    <xf numFmtId="0" fontId="5" fillId="0" borderId="0" xfId="1" applyFont="1" applyAlignment="1">
      <alignment horizontal="left"/>
    </xf>
    <xf numFmtId="8" fontId="0" fillId="2" borderId="29" xfId="0" applyNumberForma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164" fontId="0" fillId="7" borderId="10" xfId="0" applyNumberFormat="1" applyFill="1" applyBorder="1" applyAlignment="1">
      <alignment horizontal="center" vertical="center"/>
    </xf>
    <xf numFmtId="10" fontId="0" fillId="7" borderId="10" xfId="0" applyNumberForma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164" fontId="1" fillId="7" borderId="1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64" fontId="0" fillId="2" borderId="22" xfId="0" applyNumberFormat="1" applyFill="1" applyBorder="1" applyAlignment="1">
      <alignment horizontal="center" vertical="center"/>
    </xf>
    <xf numFmtId="164" fontId="6" fillId="0" borderId="6" xfId="2" applyNumberFormat="1" applyFont="1" applyFill="1" applyBorder="1" applyAlignment="1">
      <alignment horizontal="center"/>
    </xf>
    <xf numFmtId="0" fontId="0" fillId="2" borderId="30" xfId="0" applyFill="1" applyBorder="1"/>
    <xf numFmtId="8" fontId="0" fillId="2" borderId="9" xfId="0" applyNumberFormat="1" applyFill="1" applyBorder="1" applyAlignment="1">
      <alignment horizontal="center" vertical="center" wrapText="1"/>
    </xf>
    <xf numFmtId="0" fontId="0" fillId="0" borderId="30" xfId="0" applyBorder="1"/>
    <xf numFmtId="166" fontId="0" fillId="5" borderId="1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5" fontId="6" fillId="0" borderId="6" xfId="2" applyNumberFormat="1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9" fontId="0" fillId="2" borderId="0" xfId="0" applyNumberFormat="1" applyFill="1" applyAlignment="1">
      <alignment horizontal="center"/>
    </xf>
    <xf numFmtId="8" fontId="0" fillId="2" borderId="32" xfId="0" applyNumberFormat="1" applyFill="1" applyBorder="1" applyAlignment="1">
      <alignment horizontal="center"/>
    </xf>
    <xf numFmtId="8" fontId="0" fillId="16" borderId="21" xfId="0" applyNumberFormat="1" applyFill="1" applyBorder="1" applyAlignment="1">
      <alignment wrapText="1"/>
    </xf>
    <xf numFmtId="8" fontId="0" fillId="15" borderId="21" xfId="0" applyNumberFormat="1" applyFill="1" applyBorder="1" applyAlignment="1">
      <alignment wrapText="1"/>
    </xf>
    <xf numFmtId="8" fontId="0" fillId="0" borderId="32" xfId="0" applyNumberFormat="1" applyBorder="1" applyAlignment="1">
      <alignment horizontal="center" vertical="center"/>
    </xf>
    <xf numFmtId="8" fontId="0" fillId="2" borderId="32" xfId="0" applyNumberFormat="1" applyFill="1" applyBorder="1" applyAlignment="1">
      <alignment horizontal="center" vertical="center"/>
    </xf>
    <xf numFmtId="8" fontId="0" fillId="14" borderId="21" xfId="0" applyNumberFormat="1" applyFill="1" applyBorder="1" applyAlignment="1">
      <alignment wrapText="1"/>
    </xf>
    <xf numFmtId="0" fontId="6" fillId="0" borderId="5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10" fontId="6" fillId="0" borderId="6" xfId="3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 wrapText="1"/>
    </xf>
    <xf numFmtId="164" fontId="7" fillId="0" borderId="6" xfId="1" applyNumberFormat="1" applyFont="1" applyBorder="1" applyAlignment="1">
      <alignment horizontal="center" vertical="center" wrapText="1"/>
    </xf>
    <xf numFmtId="0" fontId="6" fillId="0" borderId="4" xfId="1" quotePrefix="1" applyFont="1" applyBorder="1" applyAlignment="1">
      <alignment horizontal="left"/>
    </xf>
    <xf numFmtId="164" fontId="7" fillId="0" borderId="36" xfId="1" applyNumberFormat="1" applyFont="1" applyBorder="1" applyAlignment="1">
      <alignment horizontal="center" vertical="center" wrapText="1"/>
    </xf>
    <xf numFmtId="0" fontId="6" fillId="0" borderId="7" xfId="1" quotePrefix="1" applyFont="1" applyBorder="1" applyAlignment="1">
      <alignment horizontal="left"/>
    </xf>
    <xf numFmtId="164" fontId="7" fillId="0" borderId="9" xfId="1" applyNumberFormat="1" applyFont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Continuous" vertical="center"/>
    </xf>
    <xf numFmtId="0" fontId="5" fillId="3" borderId="35" xfId="0" applyFont="1" applyFill="1" applyBorder="1" applyAlignment="1">
      <alignment horizontal="centerContinuous" vertical="center"/>
    </xf>
    <xf numFmtId="8" fontId="0" fillId="0" borderId="0" xfId="0" applyNumberFormat="1"/>
    <xf numFmtId="8" fontId="1" fillId="4" borderId="24" xfId="0" applyNumberFormat="1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14" fontId="6" fillId="0" borderId="0" xfId="1" applyNumberFormat="1" applyFont="1" applyAlignment="1">
      <alignment horizontal="left"/>
    </xf>
    <xf numFmtId="0" fontId="6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13" borderId="2" xfId="1" applyFont="1" applyFill="1" applyBorder="1" applyAlignment="1">
      <alignment horizontal="center"/>
    </xf>
    <xf numFmtId="0" fontId="5" fillId="13" borderId="3" xfId="1" applyFont="1" applyFill="1" applyBorder="1" applyAlignment="1">
      <alignment horizontal="center"/>
    </xf>
  </cellXfs>
  <cellStyles count="4">
    <cellStyle name="Currency 2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1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0</xdr:rowOff>
    </xdr:from>
    <xdr:to>
      <xdr:col>1</xdr:col>
      <xdr:colOff>1619086</xdr:colOff>
      <xdr:row>2</xdr:row>
      <xdr:rowOff>146050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AD41973-0FAC-4106-BCE8-DBACD10B6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90500"/>
          <a:ext cx="1428586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FF00"/>
    <pageSetUpPr fitToPage="1"/>
  </sheetPr>
  <dimension ref="B2:O193"/>
  <sheetViews>
    <sheetView showGridLines="0" tabSelected="1" topLeftCell="A160" zoomScaleNormal="100" zoomScaleSheetLayoutView="100" zoomScalePageLayoutView="55" workbookViewId="0">
      <selection activeCell="G41" sqref="G41"/>
    </sheetView>
  </sheetViews>
  <sheetFormatPr defaultColWidth="9.140625" defaultRowHeight="15" outlineLevelCol="1"/>
  <cols>
    <col min="1" max="1" width="2.85546875" style="4" customWidth="1"/>
    <col min="2" max="2" width="75.42578125" style="4" customWidth="1"/>
    <col min="3" max="5" width="12.140625" style="4" customWidth="1"/>
    <col min="6" max="6" width="11.5703125" style="62" customWidth="1"/>
    <col min="7" max="7" width="14" style="4" customWidth="1"/>
    <col min="8" max="8" width="11.28515625" customWidth="1"/>
    <col min="9" max="9" width="3" style="4" customWidth="1"/>
    <col min="10" max="10" width="8.42578125" style="9" hidden="1" customWidth="1" outlineLevel="1"/>
    <col min="11" max="11" width="6.28515625" style="9" hidden="1" customWidth="1" outlineLevel="1"/>
    <col min="12" max="12" width="10" style="14" hidden="1" customWidth="1" outlineLevel="1"/>
    <col min="13" max="13" width="8.140625" style="10" hidden="1" customWidth="1" outlineLevel="1"/>
    <col min="14" max="14" width="2.42578125" style="4" hidden="1" customWidth="1" outlineLevel="1"/>
    <col min="15" max="15" width="9.140625" style="4" customWidth="1" collapsed="1"/>
    <col min="16" max="16384" width="9.140625" style="4"/>
  </cols>
  <sheetData>
    <row r="2" spans="2:13" ht="18.75">
      <c r="B2" s="1" t="s">
        <v>0</v>
      </c>
      <c r="C2" s="2"/>
      <c r="D2" s="2"/>
      <c r="E2" s="2"/>
      <c r="F2" s="60"/>
      <c r="G2" s="2"/>
      <c r="H2" s="94"/>
      <c r="I2" s="2"/>
      <c r="J2" s="67"/>
      <c r="K2" s="67"/>
    </row>
    <row r="3" spans="2:13" ht="18.75">
      <c r="B3" s="1" t="s">
        <v>1</v>
      </c>
      <c r="C3" s="2"/>
      <c r="D3" s="2"/>
      <c r="E3" s="2"/>
      <c r="F3" s="60"/>
      <c r="G3" s="2"/>
      <c r="H3" s="94"/>
      <c r="I3" s="2"/>
      <c r="J3" s="67"/>
      <c r="K3" s="67"/>
    </row>
    <row r="4" spans="2:13" ht="18.75">
      <c r="B4" s="1" t="s">
        <v>2</v>
      </c>
      <c r="C4" s="1"/>
      <c r="D4" s="1"/>
      <c r="E4" s="1"/>
      <c r="F4" s="1"/>
      <c r="G4" s="1"/>
      <c r="H4" s="1"/>
    </row>
    <row r="5" spans="2:13" ht="18.75">
      <c r="B5" s="1"/>
      <c r="C5" s="1"/>
      <c r="D5" s="1"/>
      <c r="E5" s="1"/>
      <c r="F5" s="1"/>
      <c r="G5" s="1"/>
      <c r="H5" s="1"/>
    </row>
    <row r="6" spans="2:13">
      <c r="B6" s="5" t="s">
        <v>3</v>
      </c>
      <c r="C6" s="3"/>
      <c r="D6" s="3"/>
      <c r="E6" s="3"/>
      <c r="G6"/>
      <c r="J6" s="6"/>
      <c r="K6" s="6"/>
      <c r="L6" s="110"/>
      <c r="M6" s="128"/>
    </row>
    <row r="7" spans="2:13">
      <c r="B7" s="11" t="s">
        <v>4</v>
      </c>
      <c r="C7" s="7">
        <f>$G$13+$G$28+$G$31+$G$34</f>
        <v>41.240000000000009</v>
      </c>
      <c r="D7" s="10"/>
      <c r="E7" s="10"/>
      <c r="G7" s="61" t="s">
        <v>5</v>
      </c>
      <c r="H7" s="21">
        <f>'Disposal Rate History'!C15</f>
        <v>-8.0064033511942259E-4</v>
      </c>
    </row>
    <row r="8" spans="2:13">
      <c r="B8" s="11" t="s">
        <v>6</v>
      </c>
      <c r="C8" s="7">
        <f>$G$18+$G$28+$G$31+$G$34</f>
        <v>45.56</v>
      </c>
      <c r="D8" s="10"/>
      <c r="E8" s="10"/>
      <c r="G8" s="61" t="s">
        <v>7</v>
      </c>
      <c r="H8" s="21">
        <f>'Disposal Rate History'!C23</f>
        <v>2.9321703679107889E-2</v>
      </c>
    </row>
    <row r="9" spans="2:13">
      <c r="B9" s="11" t="s">
        <v>8</v>
      </c>
      <c r="C9" s="7">
        <f>$G$23+$G$28+$G$31+$G$34</f>
        <v>53.45</v>
      </c>
      <c r="D9" s="10"/>
      <c r="E9" s="10"/>
      <c r="G9"/>
    </row>
    <row r="10" spans="2:13" ht="15.75" thickBot="1">
      <c r="B10" s="11"/>
      <c r="C10" s="10"/>
      <c r="D10" s="10"/>
      <c r="E10" s="10"/>
      <c r="F10" s="61"/>
      <c r="G10" s="105"/>
      <c r="H10" s="93"/>
    </row>
    <row r="11" spans="2:13" ht="75">
      <c r="B11" s="75" t="s">
        <v>9</v>
      </c>
      <c r="C11" s="76" t="s">
        <v>10</v>
      </c>
      <c r="D11" s="77" t="s">
        <v>11</v>
      </c>
      <c r="E11" s="153" t="s">
        <v>12</v>
      </c>
      <c r="F11" s="77" t="s">
        <v>13</v>
      </c>
      <c r="G11" s="95" t="s">
        <v>14</v>
      </c>
      <c r="H11" s="98" t="s">
        <v>15</v>
      </c>
      <c r="J11" s="118" t="s">
        <v>16</v>
      </c>
      <c r="K11" s="118" t="s">
        <v>17</v>
      </c>
      <c r="L11" s="119" t="s">
        <v>18</v>
      </c>
      <c r="M11" s="118" t="s">
        <v>19</v>
      </c>
    </row>
    <row r="12" spans="2:13" s="12" customFormat="1">
      <c r="B12" s="79" t="s">
        <v>20</v>
      </c>
      <c r="C12" s="78"/>
      <c r="D12" s="78"/>
      <c r="E12" s="78"/>
      <c r="F12" s="78"/>
      <c r="G12" s="78"/>
      <c r="H12" s="80"/>
      <c r="J12" s="24"/>
      <c r="K12" s="24"/>
      <c r="L12" s="68"/>
      <c r="M12" s="24"/>
    </row>
    <row r="13" spans="2:13">
      <c r="B13" s="53" t="s">
        <v>21</v>
      </c>
      <c r="C13" s="15">
        <v>20.940000000000005</v>
      </c>
      <c r="D13" s="134">
        <f>ROUND(C13*$H$7,2)</f>
        <v>-0.02</v>
      </c>
      <c r="E13" s="134">
        <f>C13+D13</f>
        <v>20.920000000000005</v>
      </c>
      <c r="F13" s="56">
        <f>ROUND(C13*$H$8,2)</f>
        <v>0.61</v>
      </c>
      <c r="G13" s="8">
        <f>E13+F13</f>
        <v>21.530000000000005</v>
      </c>
      <c r="H13" s="16">
        <f>ROUND(G13*$C$193,2)</f>
        <v>3.23</v>
      </c>
      <c r="I13" s="10"/>
      <c r="J13" s="23">
        <f>(G13-C13)/C13</f>
        <v>2.8175740210124152E-2</v>
      </c>
      <c r="K13" s="24" t="s">
        <v>22</v>
      </c>
      <c r="L13" s="28" t="e">
        <f>VLOOKUP(K13,#REF!,3,0)</f>
        <v>#REF!</v>
      </c>
      <c r="M13" s="25" t="e">
        <f>IF(L13=C13,"YES","NO")</f>
        <v>#REF!</v>
      </c>
    </row>
    <row r="14" spans="2:13">
      <c r="B14" s="53" t="s">
        <v>23</v>
      </c>
      <c r="C14" s="15">
        <v>33.790000000000006</v>
      </c>
      <c r="D14" s="134">
        <f t="shared" ref="D14:D36" si="0">ROUND(C14*$H$7,2)</f>
        <v>-0.03</v>
      </c>
      <c r="E14" s="134">
        <f t="shared" ref="E14:E36" si="1">C14+D14</f>
        <v>33.760000000000005</v>
      </c>
      <c r="F14" s="56">
        <f>ROUND(C14*$H$8,2)</f>
        <v>0.99</v>
      </c>
      <c r="G14" s="8">
        <f>E14+F14</f>
        <v>34.750000000000007</v>
      </c>
      <c r="H14" s="16">
        <f>ROUND(G14*$C$193,2)</f>
        <v>5.21</v>
      </c>
      <c r="I14" s="10"/>
      <c r="J14" s="23">
        <f>(G14-C14)/C14</f>
        <v>2.8410772417875131E-2</v>
      </c>
      <c r="K14" s="24" t="s">
        <v>24</v>
      </c>
      <c r="L14" s="28" t="e">
        <f>VLOOKUP(K14,#REF!,3,0)</f>
        <v>#REF!</v>
      </c>
      <c r="M14" s="25" t="e">
        <f>IF(L14=C14,"YES","NO")</f>
        <v>#REF!</v>
      </c>
    </row>
    <row r="15" spans="2:13">
      <c r="B15" s="53" t="s">
        <v>25</v>
      </c>
      <c r="C15" s="15">
        <v>46.66</v>
      </c>
      <c r="D15" s="134">
        <f t="shared" si="0"/>
        <v>-0.04</v>
      </c>
      <c r="E15" s="134">
        <f t="shared" si="1"/>
        <v>46.62</v>
      </c>
      <c r="F15" s="56">
        <f>ROUND(C15*$H$8,2)</f>
        <v>1.37</v>
      </c>
      <c r="G15" s="8">
        <f>E15+F15</f>
        <v>47.989999999999995</v>
      </c>
      <c r="H15" s="16">
        <f>ROUND(G15*$C$193,2)</f>
        <v>7.2</v>
      </c>
      <c r="I15" s="10"/>
      <c r="J15" s="23">
        <f>(G15-C15)/C15</f>
        <v>2.8504072010287148E-2</v>
      </c>
      <c r="K15" s="24" t="s">
        <v>26</v>
      </c>
      <c r="L15" s="28" t="e">
        <f>VLOOKUP(K15,#REF!,3,0)</f>
        <v>#REF!</v>
      </c>
      <c r="M15" s="25" t="e">
        <f>IF(L15=C15,"YES","NO")</f>
        <v>#REF!</v>
      </c>
    </row>
    <row r="16" spans="2:13">
      <c r="B16" s="53" t="s">
        <v>27</v>
      </c>
      <c r="C16" s="15">
        <v>59.52</v>
      </c>
      <c r="D16" s="134">
        <f t="shared" si="0"/>
        <v>-0.05</v>
      </c>
      <c r="E16" s="134">
        <f t="shared" si="1"/>
        <v>59.470000000000006</v>
      </c>
      <c r="F16" s="56">
        <f>ROUND(C16*$H$8,2)</f>
        <v>1.75</v>
      </c>
      <c r="G16" s="8">
        <f>E16+F16</f>
        <v>61.220000000000006</v>
      </c>
      <c r="H16" s="16">
        <f>ROUND(G16*$C$193,2)</f>
        <v>9.18</v>
      </c>
      <c r="I16" s="10"/>
      <c r="J16" s="23">
        <f>(G16-C16)/C16</f>
        <v>2.8561827956989295E-2</v>
      </c>
      <c r="K16" s="24" t="s">
        <v>28</v>
      </c>
      <c r="L16" s="28" t="e">
        <f>VLOOKUP(K16,#REF!,3,0)</f>
        <v>#REF!</v>
      </c>
      <c r="M16" s="25" t="e">
        <f>IF(L16=C16,"YES","NO")</f>
        <v>#REF!</v>
      </c>
    </row>
    <row r="17" spans="2:13">
      <c r="B17" s="53"/>
      <c r="C17" s="15"/>
      <c r="D17" s="134"/>
      <c r="E17" s="134"/>
      <c r="F17" s="56"/>
      <c r="G17" s="8"/>
      <c r="H17" s="16"/>
      <c r="I17" s="10"/>
      <c r="J17" s="23"/>
      <c r="K17" s="24"/>
      <c r="L17" s="28"/>
      <c r="M17" s="25"/>
    </row>
    <row r="18" spans="2:13">
      <c r="B18" s="53" t="s">
        <v>29</v>
      </c>
      <c r="C18" s="15">
        <v>25.130000000000003</v>
      </c>
      <c r="D18" s="134">
        <f t="shared" si="0"/>
        <v>-0.02</v>
      </c>
      <c r="E18" s="134">
        <f t="shared" si="1"/>
        <v>25.110000000000003</v>
      </c>
      <c r="F18" s="56">
        <f>ROUND(C18*$H$8,2)</f>
        <v>0.74</v>
      </c>
      <c r="G18" s="8">
        <f t="shared" ref="G18:G21" si="2">E18+F18</f>
        <v>25.85</v>
      </c>
      <c r="H18" s="16">
        <f>ROUND(G18*$C$193,2)</f>
        <v>3.88</v>
      </c>
      <c r="I18" s="10"/>
      <c r="J18" s="23">
        <f>(G18-C18)/C18</f>
        <v>2.8651014723438072E-2</v>
      </c>
      <c r="K18" s="24" t="s">
        <v>30</v>
      </c>
      <c r="L18" s="28" t="e">
        <f>VLOOKUP(K18,#REF!,3,0)</f>
        <v>#REF!</v>
      </c>
      <c r="M18" s="25" t="e">
        <f>IF(L18=C18,"YES","NO")</f>
        <v>#REF!</v>
      </c>
    </row>
    <row r="19" spans="2:13">
      <c r="B19" s="53" t="s">
        <v>31</v>
      </c>
      <c r="C19" s="15">
        <v>44.45</v>
      </c>
      <c r="D19" s="134">
        <f t="shared" si="0"/>
        <v>-0.04</v>
      </c>
      <c r="E19" s="134">
        <f t="shared" si="1"/>
        <v>44.410000000000004</v>
      </c>
      <c r="F19" s="56">
        <f>ROUND(C19*$H$8,2)</f>
        <v>1.3</v>
      </c>
      <c r="G19" s="8">
        <f t="shared" si="2"/>
        <v>45.71</v>
      </c>
      <c r="H19" s="16">
        <f>ROUND(G19*$C$193,2)</f>
        <v>6.86</v>
      </c>
      <c r="I19" s="10"/>
      <c r="J19" s="23">
        <f>(G19-C19)/C19</f>
        <v>2.834645669291334E-2</v>
      </c>
      <c r="K19" s="24" t="s">
        <v>32</v>
      </c>
      <c r="L19" s="28" t="e">
        <f>VLOOKUP(K19,#REF!,3,0)</f>
        <v>#REF!</v>
      </c>
      <c r="M19" s="25" t="e">
        <f>IF(L19=C19,"YES","NO")</f>
        <v>#REF!</v>
      </c>
    </row>
    <row r="20" spans="2:13">
      <c r="B20" s="53" t="s">
        <v>33</v>
      </c>
      <c r="C20" s="15">
        <v>63.790000000000006</v>
      </c>
      <c r="D20" s="134">
        <f t="shared" si="0"/>
        <v>-0.05</v>
      </c>
      <c r="E20" s="134">
        <f t="shared" si="1"/>
        <v>63.740000000000009</v>
      </c>
      <c r="F20" s="56">
        <f>ROUND(C20*$H$8,2)</f>
        <v>1.87</v>
      </c>
      <c r="G20" s="8">
        <f t="shared" si="2"/>
        <v>65.610000000000014</v>
      </c>
      <c r="H20" s="16">
        <f>ROUND(G20*$C$193,2)</f>
        <v>9.84</v>
      </c>
      <c r="I20" s="10"/>
      <c r="J20" s="23">
        <f>(G20-C20)/C20</f>
        <v>2.8531117730051844E-2</v>
      </c>
      <c r="K20" s="24" t="s">
        <v>34</v>
      </c>
      <c r="L20" s="28" t="e">
        <f>VLOOKUP(K20,#REF!,3,0)</f>
        <v>#REF!</v>
      </c>
      <c r="M20" s="25" t="e">
        <f>IF(L20=C20,"YES","NO")</f>
        <v>#REF!</v>
      </c>
    </row>
    <row r="21" spans="2:13">
      <c r="B21" s="53" t="s">
        <v>35</v>
      </c>
      <c r="C21" s="15">
        <v>83.110000000000014</v>
      </c>
      <c r="D21" s="134">
        <f t="shared" si="0"/>
        <v>-7.0000000000000007E-2</v>
      </c>
      <c r="E21" s="134">
        <f t="shared" si="1"/>
        <v>83.04000000000002</v>
      </c>
      <c r="F21" s="56">
        <f>ROUND(C21*$H$8,2)</f>
        <v>2.44</v>
      </c>
      <c r="G21" s="8">
        <f t="shared" si="2"/>
        <v>85.480000000000018</v>
      </c>
      <c r="H21" s="16">
        <f>ROUND(G21*$C$193,2)</f>
        <v>12.82</v>
      </c>
      <c r="I21" s="10"/>
      <c r="J21" s="23">
        <f>(G21-C21)/C21</f>
        <v>2.8516424016363905E-2</v>
      </c>
      <c r="K21" s="24" t="s">
        <v>36</v>
      </c>
      <c r="L21" s="28" t="e">
        <f>VLOOKUP(K21,#REF!,3,0)</f>
        <v>#REF!</v>
      </c>
      <c r="M21" s="25" t="e">
        <f>IF(L21=C21,"YES","NO")</f>
        <v>#REF!</v>
      </c>
    </row>
    <row r="22" spans="2:13">
      <c r="B22" s="53"/>
      <c r="C22" s="15"/>
      <c r="D22" s="134"/>
      <c r="E22" s="134"/>
      <c r="F22" s="56"/>
      <c r="G22" s="8"/>
      <c r="H22" s="16"/>
      <c r="I22" s="10"/>
      <c r="J22" s="23"/>
      <c r="K22" s="24"/>
      <c r="L22" s="28"/>
      <c r="M22" s="25"/>
    </row>
    <row r="23" spans="2:13">
      <c r="B23" s="53" t="s">
        <v>37</v>
      </c>
      <c r="C23" s="15">
        <v>32.81</v>
      </c>
      <c r="D23" s="134">
        <f t="shared" si="0"/>
        <v>-0.03</v>
      </c>
      <c r="E23" s="134">
        <f t="shared" si="1"/>
        <v>32.78</v>
      </c>
      <c r="F23" s="56">
        <f>ROUND(C23*$H$8,2)</f>
        <v>0.96</v>
      </c>
      <c r="G23" s="8">
        <f t="shared" ref="G23:G26" si="3">E23+F23</f>
        <v>33.74</v>
      </c>
      <c r="H23" s="16">
        <f>ROUND(G23*$C$193,2)</f>
        <v>5.0599999999999996</v>
      </c>
      <c r="I23" s="10"/>
      <c r="J23" s="23">
        <f>(G23-C23)/C23</f>
        <v>2.8345016763181945E-2</v>
      </c>
      <c r="K23" s="24" t="s">
        <v>38</v>
      </c>
      <c r="L23" s="28" t="e">
        <f>VLOOKUP(K23,#REF!,3,0)</f>
        <v>#REF!</v>
      </c>
      <c r="M23" s="25" t="e">
        <f>IF(L23=C23,"YES","NO")</f>
        <v>#REF!</v>
      </c>
    </row>
    <row r="24" spans="2:13">
      <c r="B24" s="53" t="s">
        <v>39</v>
      </c>
      <c r="C24" s="15">
        <v>58.449999999999996</v>
      </c>
      <c r="D24" s="134">
        <f t="shared" si="0"/>
        <v>-0.05</v>
      </c>
      <c r="E24" s="134">
        <f t="shared" si="1"/>
        <v>58.4</v>
      </c>
      <c r="F24" s="56">
        <f>ROUND(C24*$H$8,2)</f>
        <v>1.71</v>
      </c>
      <c r="G24" s="8">
        <f t="shared" si="3"/>
        <v>60.11</v>
      </c>
      <c r="H24" s="16">
        <f>ROUND(G24*$C$193,2)</f>
        <v>9.02</v>
      </c>
      <c r="I24" s="10"/>
      <c r="J24" s="23">
        <f>(G24-C24)/C24</f>
        <v>2.8400342172797327E-2</v>
      </c>
      <c r="K24" s="24" t="s">
        <v>40</v>
      </c>
      <c r="L24" s="28" t="e">
        <f>VLOOKUP(K24,#REF!,3,0)</f>
        <v>#REF!</v>
      </c>
      <c r="M24" s="25" t="e">
        <f>IF(L24=C24,"YES","NO")</f>
        <v>#REF!</v>
      </c>
    </row>
    <row r="25" spans="2:13">
      <c r="B25" s="53" t="s">
        <v>41</v>
      </c>
      <c r="C25" s="15">
        <v>84.110000000000014</v>
      </c>
      <c r="D25" s="134">
        <f t="shared" si="0"/>
        <v>-7.0000000000000007E-2</v>
      </c>
      <c r="E25" s="134">
        <f t="shared" si="1"/>
        <v>84.04000000000002</v>
      </c>
      <c r="F25" s="56">
        <f>ROUND(C25*$H$8,2)</f>
        <v>2.4700000000000002</v>
      </c>
      <c r="G25" s="8">
        <f t="shared" si="3"/>
        <v>86.510000000000019</v>
      </c>
      <c r="H25" s="16">
        <f>ROUND(G25*$C$193,2)</f>
        <v>12.98</v>
      </c>
      <c r="I25" s="10"/>
      <c r="J25" s="23">
        <f>(G25-C25)/C25</f>
        <v>2.8534062537153789E-2</v>
      </c>
      <c r="K25" s="24" t="s">
        <v>42</v>
      </c>
      <c r="L25" s="28" t="e">
        <f>VLOOKUP(K25,#REF!,3,0)</f>
        <v>#REF!</v>
      </c>
      <c r="M25" s="25" t="e">
        <f>IF(L25=C25,"YES","NO")</f>
        <v>#REF!</v>
      </c>
    </row>
    <row r="26" spans="2:13">
      <c r="B26" s="53" t="s">
        <v>43</v>
      </c>
      <c r="C26" s="15">
        <v>109.77000000000001</v>
      </c>
      <c r="D26" s="134">
        <f t="shared" si="0"/>
        <v>-0.09</v>
      </c>
      <c r="E26" s="134">
        <f t="shared" si="1"/>
        <v>109.68</v>
      </c>
      <c r="F26" s="56">
        <f>ROUND(C26*$H$8,2)</f>
        <v>3.22</v>
      </c>
      <c r="G26" s="8">
        <f t="shared" si="3"/>
        <v>112.9</v>
      </c>
      <c r="H26" s="16">
        <f>ROUND(G26*$C$193,2)</f>
        <v>16.940000000000001</v>
      </c>
      <c r="I26" s="10"/>
      <c r="J26" s="23">
        <f>(G26-C26)/C26</f>
        <v>2.8514165983419833E-2</v>
      </c>
      <c r="K26" s="24" t="s">
        <v>44</v>
      </c>
      <c r="L26" s="28" t="e">
        <f>VLOOKUP(K26,#REF!,3,0)</f>
        <v>#REF!</v>
      </c>
      <c r="M26" s="25" t="e">
        <f>IF(L26=C26,"YES","NO")</f>
        <v>#REF!</v>
      </c>
    </row>
    <row r="27" spans="2:13">
      <c r="B27" s="79" t="s">
        <v>45</v>
      </c>
      <c r="C27" s="78"/>
      <c r="D27" s="139"/>
      <c r="E27" s="139"/>
      <c r="F27" s="78"/>
      <c r="G27" s="78"/>
      <c r="H27" s="80"/>
      <c r="J27" s="25"/>
      <c r="K27" s="25"/>
      <c r="L27" s="28"/>
      <c r="M27" s="25"/>
    </row>
    <row r="28" spans="2:13">
      <c r="B28" s="53" t="s">
        <v>37</v>
      </c>
      <c r="C28" s="15">
        <v>3.3099999999999996</v>
      </c>
      <c r="D28" s="134">
        <f t="shared" si="0"/>
        <v>0</v>
      </c>
      <c r="E28" s="134">
        <f t="shared" si="1"/>
        <v>3.3099999999999996</v>
      </c>
      <c r="F28" s="56">
        <v>0</v>
      </c>
      <c r="G28" s="8">
        <f t="shared" ref="G28:G29" si="4">E28+F28</f>
        <v>3.3099999999999996</v>
      </c>
      <c r="H28" s="16">
        <f>ROUND(G28*$C$193,2)</f>
        <v>0.5</v>
      </c>
      <c r="I28" s="9"/>
      <c r="J28" s="23">
        <f>(G28-C28)/C28</f>
        <v>0</v>
      </c>
      <c r="K28" s="25" t="s">
        <v>46</v>
      </c>
      <c r="L28" s="28" t="e">
        <f>VLOOKUP(K28,#REF!,3,0)</f>
        <v>#REF!</v>
      </c>
      <c r="M28" s="25" t="e">
        <f>IF(L28=C28,"YES","NO")</f>
        <v>#REF!</v>
      </c>
    </row>
    <row r="29" spans="2:13">
      <c r="B29" s="53" t="s">
        <v>39</v>
      </c>
      <c r="C29" s="15">
        <v>8.129999999999999</v>
      </c>
      <c r="D29" s="134">
        <f t="shared" si="0"/>
        <v>-0.01</v>
      </c>
      <c r="E29" s="134">
        <f t="shared" si="1"/>
        <v>8.1199999999999992</v>
      </c>
      <c r="F29" s="56">
        <v>0</v>
      </c>
      <c r="G29" s="8">
        <f t="shared" si="4"/>
        <v>8.1199999999999992</v>
      </c>
      <c r="H29" s="16">
        <f>ROUND(G29*$C$193,2)</f>
        <v>1.22</v>
      </c>
      <c r="I29" s="9"/>
      <c r="J29" s="23">
        <f>(G29-C29)/C29</f>
        <v>-1.2300123001229752E-3</v>
      </c>
      <c r="K29" s="25" t="s">
        <v>47</v>
      </c>
      <c r="L29" s="28" t="e">
        <f>VLOOKUP(K29,#REF!,3,0)</f>
        <v>#REF!</v>
      </c>
      <c r="M29" s="25" t="e">
        <f>IF(L29=C29,"YES","NO")</f>
        <v>#REF!</v>
      </c>
    </row>
    <row r="30" spans="2:13">
      <c r="B30" s="79" t="s">
        <v>48</v>
      </c>
      <c r="C30" s="78"/>
      <c r="D30" s="139"/>
      <c r="E30" s="139"/>
      <c r="F30" s="78"/>
      <c r="G30" s="78"/>
      <c r="H30" s="80"/>
      <c r="J30" s="25"/>
      <c r="K30" s="25"/>
      <c r="L30" s="28"/>
      <c r="M30" s="25"/>
    </row>
    <row r="31" spans="2:13">
      <c r="B31" s="53" t="s">
        <v>49</v>
      </c>
      <c r="C31" s="15">
        <v>10.85</v>
      </c>
      <c r="D31" s="134">
        <f t="shared" si="0"/>
        <v>-0.01</v>
      </c>
      <c r="E31" s="134">
        <f t="shared" si="1"/>
        <v>10.84</v>
      </c>
      <c r="F31" s="56">
        <v>0</v>
      </c>
      <c r="G31" s="8">
        <f t="shared" ref="G31:G32" si="5">E31+F31</f>
        <v>10.84</v>
      </c>
      <c r="H31" s="16">
        <f>ROUND(G31*$C$193,2)</f>
        <v>1.63</v>
      </c>
      <c r="J31" s="117">
        <f>(G31-C31)/C31</f>
        <v>-9.2165898617509558E-4</v>
      </c>
      <c r="K31" s="115" t="s">
        <v>50</v>
      </c>
      <c r="L31" s="116" t="e">
        <f>VLOOKUP(K31,#REF!,3,0)</f>
        <v>#REF!</v>
      </c>
      <c r="M31" s="115" t="e">
        <f>IF(L31=C31,"YES","NO")</f>
        <v>#REF!</v>
      </c>
    </row>
    <row r="32" spans="2:13">
      <c r="B32" s="53" t="s">
        <v>51</v>
      </c>
      <c r="C32" s="15">
        <v>25.1</v>
      </c>
      <c r="D32" s="134">
        <f t="shared" si="0"/>
        <v>-0.02</v>
      </c>
      <c r="E32" s="134">
        <f t="shared" si="1"/>
        <v>25.080000000000002</v>
      </c>
      <c r="F32" s="56">
        <v>0</v>
      </c>
      <c r="G32" s="8">
        <f t="shared" si="5"/>
        <v>25.080000000000002</v>
      </c>
      <c r="H32" s="16">
        <f>ROUND(G32*$C$193,2)</f>
        <v>3.76</v>
      </c>
      <c r="J32" s="117">
        <f>(G32-C32)/C32</f>
        <v>-7.9681274900396707E-4</v>
      </c>
      <c r="K32" s="115"/>
      <c r="L32" s="116"/>
      <c r="M32" s="115"/>
    </row>
    <row r="33" spans="2:13">
      <c r="B33" s="79" t="s">
        <v>52</v>
      </c>
      <c r="C33" s="78"/>
      <c r="D33" s="139"/>
      <c r="E33" s="139"/>
      <c r="F33" s="78"/>
      <c r="G33" s="78"/>
      <c r="H33" s="80"/>
      <c r="J33" s="115"/>
      <c r="K33" s="115"/>
      <c r="L33" s="116"/>
      <c r="M33" s="115"/>
    </row>
    <row r="34" spans="2:13">
      <c r="B34" s="69" t="s">
        <v>53</v>
      </c>
      <c r="C34" s="127">
        <v>5.4000000000000012</v>
      </c>
      <c r="D34" s="134">
        <f t="shared" si="0"/>
        <v>0</v>
      </c>
      <c r="E34" s="134">
        <f t="shared" si="1"/>
        <v>5.4000000000000012</v>
      </c>
      <c r="F34" s="70">
        <f>ROUND(C34*$H$8,2)</f>
        <v>0.16</v>
      </c>
      <c r="G34" s="8">
        <f t="shared" ref="G34:G36" si="6">E34+F34</f>
        <v>5.5600000000000014</v>
      </c>
      <c r="H34" s="114">
        <f>ROUND(G34*$C$193,2)</f>
        <v>0.83</v>
      </c>
      <c r="J34" s="117">
        <f>(G34-C34)/C34</f>
        <v>2.9629629629629648E-2</v>
      </c>
      <c r="K34" s="115" t="s">
        <v>54</v>
      </c>
      <c r="L34" s="116" t="e">
        <f>VLOOKUP(K34,#REF!,3,0)</f>
        <v>#REF!</v>
      </c>
      <c r="M34" s="115" t="e">
        <f>IF(L34=C34,"YES","NO")</f>
        <v>#REF!</v>
      </c>
    </row>
    <row r="35" spans="2:13">
      <c r="B35" s="69" t="s">
        <v>55</v>
      </c>
      <c r="C35" s="127">
        <v>5.4000000000000012</v>
      </c>
      <c r="D35" s="134">
        <f t="shared" si="0"/>
        <v>0</v>
      </c>
      <c r="E35" s="134">
        <f t="shared" si="1"/>
        <v>5.4000000000000012</v>
      </c>
      <c r="F35" s="70">
        <f>ROUND(C35*$H$8,2)</f>
        <v>0.16</v>
      </c>
      <c r="G35" s="8">
        <f t="shared" si="6"/>
        <v>5.5600000000000014</v>
      </c>
      <c r="H35" s="114">
        <f>ROUND(G35*$C$193,2)</f>
        <v>0.83</v>
      </c>
      <c r="J35" s="117"/>
      <c r="K35" s="115"/>
      <c r="L35" s="116"/>
      <c r="M35" s="115"/>
    </row>
    <row r="36" spans="2:13">
      <c r="B36" s="53" t="s">
        <v>56</v>
      </c>
      <c r="C36" s="15">
        <v>24.500000000000007</v>
      </c>
      <c r="D36" s="134">
        <f t="shared" si="0"/>
        <v>-0.02</v>
      </c>
      <c r="E36" s="134">
        <f t="shared" si="1"/>
        <v>24.480000000000008</v>
      </c>
      <c r="F36" s="63">
        <f>ROUND(C36*$H$8,2)</f>
        <v>0.72</v>
      </c>
      <c r="G36" s="8">
        <f t="shared" si="6"/>
        <v>25.200000000000006</v>
      </c>
      <c r="H36" s="16">
        <f>ROUND(G36*$C$193,2)</f>
        <v>3.78</v>
      </c>
      <c r="J36" s="117">
        <f>(G36-C36)/C36</f>
        <v>2.8571428571428536E-2</v>
      </c>
      <c r="K36" s="115" t="s">
        <v>57</v>
      </c>
      <c r="L36" s="116" t="e">
        <f>VLOOKUP(K36,#REF!,3,0)</f>
        <v>#REF!</v>
      </c>
      <c r="M36" s="115" t="e">
        <f>IF(L36=C36,"YES","NO")</f>
        <v>#REF!</v>
      </c>
    </row>
    <row r="37" spans="2:13">
      <c r="B37" s="79" t="s">
        <v>58</v>
      </c>
      <c r="C37" s="78"/>
      <c r="D37" s="139"/>
      <c r="E37" s="139"/>
      <c r="F37" s="78"/>
      <c r="G37" s="78"/>
      <c r="H37" s="80"/>
      <c r="J37" s="115"/>
      <c r="K37" s="115"/>
      <c r="L37" s="116"/>
      <c r="M37" s="115"/>
    </row>
    <row r="38" spans="2:13">
      <c r="B38" s="53" t="s">
        <v>59</v>
      </c>
      <c r="C38" s="15">
        <v>13.209999999999999</v>
      </c>
      <c r="D38" s="63" t="s">
        <v>60</v>
      </c>
      <c r="E38" s="63">
        <f>C38</f>
        <v>13.209999999999999</v>
      </c>
      <c r="F38" s="63" t="s">
        <v>60</v>
      </c>
      <c r="G38" s="8">
        <f>C38</f>
        <v>13.209999999999999</v>
      </c>
      <c r="H38" s="16">
        <f t="shared" ref="H38:H48" si="7">ROUND(G38*$C$193,2)</f>
        <v>1.98</v>
      </c>
      <c r="J38" s="117">
        <f t="shared" ref="J38:J49" si="8">(G38-C38)/C38</f>
        <v>0</v>
      </c>
      <c r="K38" s="115" t="s">
        <v>61</v>
      </c>
      <c r="L38" s="116" t="e">
        <f>VLOOKUP(K38,#REF!,3,0)</f>
        <v>#REF!</v>
      </c>
      <c r="M38" s="115" t="e">
        <f t="shared" ref="M38:M49" si="9">IF(L38=C38,"YES","NO")</f>
        <v>#REF!</v>
      </c>
    </row>
    <row r="39" spans="2:13">
      <c r="B39" s="53" t="s">
        <v>62</v>
      </c>
      <c r="C39" s="15">
        <v>0</v>
      </c>
      <c r="D39" s="63" t="s">
        <v>60</v>
      </c>
      <c r="E39" s="63">
        <f t="shared" ref="E39:E49" si="10">C39</f>
        <v>0</v>
      </c>
      <c r="F39" s="63" t="s">
        <v>60</v>
      </c>
      <c r="G39" s="8">
        <f t="shared" ref="G39:G47" si="11">C39</f>
        <v>0</v>
      </c>
      <c r="H39" s="16">
        <f t="shared" si="7"/>
        <v>0</v>
      </c>
      <c r="J39" s="117" t="e">
        <f t="shared" si="8"/>
        <v>#DIV/0!</v>
      </c>
      <c r="K39" s="115"/>
      <c r="L39" s="116" t="e">
        <f>VLOOKUP(K39,#REF!,3,0)</f>
        <v>#REF!</v>
      </c>
      <c r="M39" s="115" t="e">
        <f t="shared" si="9"/>
        <v>#REF!</v>
      </c>
    </row>
    <row r="40" spans="2:13">
      <c r="B40" s="53" t="s">
        <v>63</v>
      </c>
      <c r="C40" s="15">
        <v>82.389999999999986</v>
      </c>
      <c r="D40" s="63" t="s">
        <v>60</v>
      </c>
      <c r="E40" s="63">
        <f t="shared" si="10"/>
        <v>82.389999999999986</v>
      </c>
      <c r="F40" s="63" t="s">
        <v>60</v>
      </c>
      <c r="G40" s="8">
        <f t="shared" si="11"/>
        <v>82.389999999999986</v>
      </c>
      <c r="H40" s="16">
        <f t="shared" si="7"/>
        <v>12.36</v>
      </c>
      <c r="J40" s="117">
        <f t="shared" si="8"/>
        <v>0</v>
      </c>
      <c r="K40" s="115"/>
      <c r="L40" s="116" t="e">
        <f>VLOOKUP(K40,#REF!,3,0)</f>
        <v>#REF!</v>
      </c>
      <c r="M40" s="115" t="e">
        <f t="shared" si="9"/>
        <v>#REF!</v>
      </c>
    </row>
    <row r="41" spans="2:13">
      <c r="B41" s="54" t="s">
        <v>64</v>
      </c>
      <c r="C41" s="15">
        <v>64.13</v>
      </c>
      <c r="D41" s="63" t="s">
        <v>60</v>
      </c>
      <c r="E41" s="63">
        <f t="shared" si="10"/>
        <v>64.13</v>
      </c>
      <c r="F41" s="63" t="s">
        <v>60</v>
      </c>
      <c r="G41" s="8">
        <v>64.13</v>
      </c>
      <c r="H41" s="16">
        <f t="shared" si="7"/>
        <v>9.6199999999999992</v>
      </c>
      <c r="J41" s="117">
        <f t="shared" si="8"/>
        <v>0</v>
      </c>
      <c r="K41" s="115"/>
      <c r="L41" s="116" t="e">
        <f>VLOOKUP(K41,#REF!,3,0)</f>
        <v>#REF!</v>
      </c>
      <c r="M41" s="115" t="e">
        <f t="shared" si="9"/>
        <v>#REF!</v>
      </c>
    </row>
    <row r="42" spans="2:13">
      <c r="B42" s="120" t="s">
        <v>65</v>
      </c>
      <c r="C42" s="15">
        <v>114.01</v>
      </c>
      <c r="D42" s="63" t="s">
        <v>60</v>
      </c>
      <c r="E42" s="63">
        <f t="shared" si="10"/>
        <v>114.01</v>
      </c>
      <c r="F42" s="63" t="s">
        <v>60</v>
      </c>
      <c r="G42" s="8">
        <f t="shared" si="11"/>
        <v>114.01</v>
      </c>
      <c r="H42" s="16">
        <f t="shared" si="7"/>
        <v>17.100000000000001</v>
      </c>
      <c r="J42" s="117">
        <f t="shared" si="8"/>
        <v>0</v>
      </c>
      <c r="K42" s="115"/>
      <c r="L42" s="116" t="e">
        <f>VLOOKUP(K42,#REF!,3,0)</f>
        <v>#REF!</v>
      </c>
      <c r="M42" s="115" t="e">
        <f t="shared" si="9"/>
        <v>#REF!</v>
      </c>
    </row>
    <row r="43" spans="2:13">
      <c r="B43" s="120" t="s">
        <v>66</v>
      </c>
      <c r="C43" s="15">
        <v>11.79</v>
      </c>
      <c r="D43" s="63" t="s">
        <v>60</v>
      </c>
      <c r="E43" s="63">
        <f t="shared" si="10"/>
        <v>11.79</v>
      </c>
      <c r="F43" s="63" t="s">
        <v>60</v>
      </c>
      <c r="G43" s="8">
        <f t="shared" si="11"/>
        <v>11.79</v>
      </c>
      <c r="H43" s="16">
        <f t="shared" ref="H43:H44" si="12">ROUND(G43*$C$193,2)</f>
        <v>1.77</v>
      </c>
      <c r="J43" s="117">
        <f t="shared" si="8"/>
        <v>0</v>
      </c>
      <c r="K43" s="115"/>
      <c r="L43" s="116" t="e">
        <f>VLOOKUP(K43,#REF!,3,0)</f>
        <v>#REF!</v>
      </c>
      <c r="M43" s="115" t="e">
        <f t="shared" si="9"/>
        <v>#REF!</v>
      </c>
    </row>
    <row r="44" spans="2:13">
      <c r="B44" s="120" t="s">
        <v>67</v>
      </c>
      <c r="C44" s="15">
        <v>11.79</v>
      </c>
      <c r="D44" s="63" t="s">
        <v>60</v>
      </c>
      <c r="E44" s="63">
        <f t="shared" si="10"/>
        <v>11.79</v>
      </c>
      <c r="F44" s="7" t="s">
        <v>60</v>
      </c>
      <c r="G44" s="8">
        <f t="shared" si="11"/>
        <v>11.79</v>
      </c>
      <c r="H44" s="16">
        <f t="shared" si="12"/>
        <v>1.77</v>
      </c>
      <c r="J44" s="117">
        <f t="shared" si="8"/>
        <v>0</v>
      </c>
      <c r="K44" s="115"/>
      <c r="L44" s="116" t="e">
        <f>VLOOKUP(K44,#REF!,3,0)</f>
        <v>#REF!</v>
      </c>
      <c r="M44" s="115" t="e">
        <f t="shared" si="9"/>
        <v>#REF!</v>
      </c>
    </row>
    <row r="45" spans="2:13">
      <c r="B45" s="69" t="s">
        <v>68</v>
      </c>
      <c r="C45" s="15">
        <v>7.4000000000000021</v>
      </c>
      <c r="D45" s="63" t="s">
        <v>60</v>
      </c>
      <c r="E45" s="63">
        <f t="shared" si="10"/>
        <v>7.4000000000000021</v>
      </c>
      <c r="F45" s="63" t="s">
        <v>60</v>
      </c>
      <c r="G45" s="8">
        <f t="shared" si="11"/>
        <v>7.4000000000000021</v>
      </c>
      <c r="H45" s="16">
        <f t="shared" si="7"/>
        <v>1.1100000000000001</v>
      </c>
      <c r="J45" s="117">
        <f t="shared" si="8"/>
        <v>0</v>
      </c>
      <c r="K45" s="115" t="s">
        <v>69</v>
      </c>
      <c r="L45" s="116" t="e">
        <f>VLOOKUP(K45,#REF!,3,0)</f>
        <v>#REF!</v>
      </c>
      <c r="M45" s="115" t="e">
        <f t="shared" si="9"/>
        <v>#REF!</v>
      </c>
    </row>
    <row r="46" spans="2:13">
      <c r="B46" s="69" t="s">
        <v>70</v>
      </c>
      <c r="C46" s="15">
        <v>7.4000000000000021</v>
      </c>
      <c r="D46" s="63" t="s">
        <v>60</v>
      </c>
      <c r="E46" s="63">
        <f t="shared" si="10"/>
        <v>7.4000000000000021</v>
      </c>
      <c r="F46" s="63" t="s">
        <v>60</v>
      </c>
      <c r="G46" s="8">
        <f t="shared" si="11"/>
        <v>7.4000000000000021</v>
      </c>
      <c r="H46" s="16">
        <f t="shared" si="7"/>
        <v>1.1100000000000001</v>
      </c>
      <c r="J46" s="117">
        <f t="shared" si="8"/>
        <v>0</v>
      </c>
      <c r="K46" s="115" t="s">
        <v>69</v>
      </c>
      <c r="L46" s="116" t="e">
        <f>VLOOKUP(K46,#REF!,3,0)</f>
        <v>#REF!</v>
      </c>
      <c r="M46" s="115" t="e">
        <f t="shared" si="9"/>
        <v>#REF!</v>
      </c>
    </row>
    <row r="47" spans="2:13">
      <c r="B47" s="69" t="s">
        <v>71</v>
      </c>
      <c r="C47" s="15">
        <v>7.4000000000000021</v>
      </c>
      <c r="D47" s="63" t="s">
        <v>60</v>
      </c>
      <c r="E47" s="63">
        <f t="shared" si="10"/>
        <v>7.4000000000000021</v>
      </c>
      <c r="F47" s="63" t="s">
        <v>60</v>
      </c>
      <c r="G47" s="8">
        <f t="shared" si="11"/>
        <v>7.4000000000000021</v>
      </c>
      <c r="H47" s="16">
        <f t="shared" si="7"/>
        <v>1.1100000000000001</v>
      </c>
      <c r="J47" s="117">
        <f t="shared" si="8"/>
        <v>0</v>
      </c>
      <c r="K47" s="115" t="s">
        <v>69</v>
      </c>
      <c r="L47" s="116" t="e">
        <f>VLOOKUP(K47,#REF!,3,0)</f>
        <v>#REF!</v>
      </c>
      <c r="M47" s="115" t="e">
        <f t="shared" si="9"/>
        <v>#REF!</v>
      </c>
    </row>
    <row r="48" spans="2:13">
      <c r="B48" s="53" t="s">
        <v>72</v>
      </c>
      <c r="C48" s="20">
        <v>25</v>
      </c>
      <c r="D48" s="63" t="s">
        <v>60</v>
      </c>
      <c r="E48" s="63">
        <f t="shared" si="10"/>
        <v>25</v>
      </c>
      <c r="F48" s="63" t="s">
        <v>60</v>
      </c>
      <c r="G48" s="8">
        <v>25</v>
      </c>
      <c r="H48" s="16">
        <f t="shared" si="7"/>
        <v>3.75</v>
      </c>
      <c r="J48" s="117">
        <f t="shared" si="8"/>
        <v>0</v>
      </c>
      <c r="K48" s="115"/>
      <c r="L48" s="116" t="e">
        <f>VLOOKUP(K48,#REF!,3,0)</f>
        <v>#REF!</v>
      </c>
      <c r="M48" s="115" t="e">
        <f t="shared" si="9"/>
        <v>#REF!</v>
      </c>
    </row>
    <row r="49" spans="2:13" ht="45.75" thickBot="1">
      <c r="B49" s="55" t="s">
        <v>73</v>
      </c>
      <c r="C49" s="17" t="s">
        <v>74</v>
      </c>
      <c r="D49" s="64" t="s">
        <v>60</v>
      </c>
      <c r="E49" s="64" t="str">
        <f t="shared" si="10"/>
        <v>2.5% or minimum $5.00</v>
      </c>
      <c r="F49" s="64" t="s">
        <v>60</v>
      </c>
      <c r="G49" s="18" t="s">
        <v>74</v>
      </c>
      <c r="H49" s="124" t="s">
        <v>60</v>
      </c>
      <c r="J49" s="117" t="e">
        <f t="shared" si="8"/>
        <v>#VALUE!</v>
      </c>
      <c r="K49" s="115"/>
      <c r="L49" s="116" t="e">
        <f>VLOOKUP(K49,#REF!,3,0)</f>
        <v>#REF!</v>
      </c>
      <c r="M49" s="115" t="e">
        <f t="shared" si="9"/>
        <v>#REF!</v>
      </c>
    </row>
    <row r="50" spans="2:13">
      <c r="B50" s="34" t="s">
        <v>75</v>
      </c>
      <c r="C50" s="71"/>
      <c r="D50" s="71"/>
      <c r="E50" s="71"/>
      <c r="F50" s="72"/>
      <c r="G50" s="71"/>
      <c r="H50" s="108"/>
      <c r="J50" s="109"/>
      <c r="K50" s="14"/>
      <c r="L50" s="110"/>
      <c r="M50" s="14"/>
    </row>
    <row r="51" spans="2:13" ht="15.75" thickBot="1">
      <c r="C51" s="9"/>
      <c r="D51" s="9"/>
      <c r="E51" s="9"/>
      <c r="F51" s="65"/>
      <c r="G51" s="96"/>
      <c r="H51" s="97"/>
      <c r="K51" s="14"/>
      <c r="L51" s="10"/>
      <c r="M51" s="9"/>
    </row>
    <row r="52" spans="2:13" ht="75">
      <c r="B52" s="81" t="s">
        <v>76</v>
      </c>
      <c r="C52" s="82" t="str">
        <f>C$11</f>
        <v>Current Monthly Rate</v>
      </c>
      <c r="D52" s="131" t="s">
        <v>11</v>
      </c>
      <c r="E52" s="154" t="s">
        <v>12</v>
      </c>
      <c r="F52" s="83" t="str">
        <f>F$11</f>
        <v>1/1/2023 Disposal Passthrough</v>
      </c>
      <c r="G52" s="95" t="str">
        <f>G$11</f>
        <v>New Total Monthly Rate (includes franchise charge)</v>
      </c>
      <c r="H52" s="103" t="str">
        <f>$H$11</f>
        <v>Estimated Franchise Charge</v>
      </c>
      <c r="J52" s="22" t="s">
        <v>16</v>
      </c>
      <c r="K52" s="22" t="s">
        <v>17</v>
      </c>
      <c r="L52" s="27" t="s">
        <v>18</v>
      </c>
      <c r="M52" s="22" t="s">
        <v>19</v>
      </c>
    </row>
    <row r="53" spans="2:13">
      <c r="B53" s="84" t="s">
        <v>77</v>
      </c>
      <c r="C53" s="85"/>
      <c r="D53" s="136"/>
      <c r="E53" s="136"/>
      <c r="F53" s="85"/>
      <c r="G53" s="85"/>
      <c r="H53" s="86"/>
      <c r="J53" s="25"/>
      <c r="K53" s="25"/>
      <c r="L53" s="28"/>
      <c r="M53" s="25"/>
    </row>
    <row r="54" spans="2:13">
      <c r="B54" s="53" t="s">
        <v>78</v>
      </c>
      <c r="C54" s="20">
        <v>53.47999999999999</v>
      </c>
      <c r="D54" s="134">
        <f t="shared" ref="D54:D58" si="13">ROUND(C54*$H$7,2)</f>
        <v>-0.04</v>
      </c>
      <c r="E54" s="134">
        <f t="shared" ref="E54:E58" si="14">C54+D54</f>
        <v>53.439999999999991</v>
      </c>
      <c r="F54" s="70">
        <f t="shared" ref="F54:F58" si="15">ROUND(C54*$H$8,2)</f>
        <v>1.57</v>
      </c>
      <c r="G54" s="8">
        <f t="shared" ref="G54:G58" si="16">E54+F54</f>
        <v>55.009999999999991</v>
      </c>
      <c r="H54" s="16">
        <f>ROUND(G54*$C$193,2)</f>
        <v>8.25</v>
      </c>
      <c r="J54" s="23">
        <f>(G54-C54)/C54</f>
        <v>2.8608825729244603E-2</v>
      </c>
      <c r="K54" s="25" t="s">
        <v>79</v>
      </c>
      <c r="L54" s="28" t="e">
        <f>VLOOKUP(K54,#REF!,3,0)</f>
        <v>#REF!</v>
      </c>
      <c r="M54" s="25" t="e">
        <f>IF(L54=C54,"YES","NO")</f>
        <v>#REF!</v>
      </c>
    </row>
    <row r="55" spans="2:13">
      <c r="B55" s="53" t="s">
        <v>80</v>
      </c>
      <c r="C55" s="20">
        <v>106.97000000000001</v>
      </c>
      <c r="D55" s="134">
        <f t="shared" si="13"/>
        <v>-0.09</v>
      </c>
      <c r="E55" s="134">
        <f t="shared" si="14"/>
        <v>106.88000000000001</v>
      </c>
      <c r="F55" s="70">
        <f t="shared" si="15"/>
        <v>3.14</v>
      </c>
      <c r="G55" s="8">
        <f t="shared" si="16"/>
        <v>110.02000000000001</v>
      </c>
      <c r="H55" s="16">
        <f>ROUND(G55*$C$193,2)</f>
        <v>16.5</v>
      </c>
      <c r="J55" s="23">
        <f>(G55-C55)/C55</f>
        <v>2.8512667102926024E-2</v>
      </c>
      <c r="K55" s="25" t="s">
        <v>81</v>
      </c>
      <c r="L55" s="28" t="e">
        <f>VLOOKUP(K55,#REF!,3,0)</f>
        <v>#REF!</v>
      </c>
      <c r="M55" s="25" t="e">
        <f>IF(L55=C55,"YES","NO")</f>
        <v>#REF!</v>
      </c>
    </row>
    <row r="56" spans="2:13">
      <c r="B56" s="53" t="s">
        <v>82</v>
      </c>
      <c r="C56" s="20">
        <v>160.43</v>
      </c>
      <c r="D56" s="134">
        <f t="shared" si="13"/>
        <v>-0.13</v>
      </c>
      <c r="E56" s="134">
        <f t="shared" si="14"/>
        <v>160.30000000000001</v>
      </c>
      <c r="F56" s="70">
        <f t="shared" si="15"/>
        <v>4.7</v>
      </c>
      <c r="G56" s="8">
        <f t="shared" si="16"/>
        <v>165</v>
      </c>
      <c r="H56" s="16">
        <f>ROUND(G56*$C$193,2)</f>
        <v>24.75</v>
      </c>
      <c r="J56" s="23">
        <f>(G56-C56)/C56</f>
        <v>2.8485944025431607E-2</v>
      </c>
      <c r="K56" s="25" t="s">
        <v>83</v>
      </c>
      <c r="L56" s="28" t="e">
        <f>VLOOKUP(K56,#REF!,3,0)</f>
        <v>#REF!</v>
      </c>
      <c r="M56" s="25" t="e">
        <f>IF(L56=C56,"YES","NO")</f>
        <v>#REF!</v>
      </c>
    </row>
    <row r="57" spans="2:13">
      <c r="B57" s="53" t="s">
        <v>84</v>
      </c>
      <c r="C57" s="20">
        <v>213.91000000000005</v>
      </c>
      <c r="D57" s="134">
        <f t="shared" si="13"/>
        <v>-0.17</v>
      </c>
      <c r="E57" s="134">
        <f t="shared" si="14"/>
        <v>213.74000000000007</v>
      </c>
      <c r="F57" s="70">
        <f t="shared" si="15"/>
        <v>6.27</v>
      </c>
      <c r="G57" s="8">
        <f t="shared" si="16"/>
        <v>220.01000000000008</v>
      </c>
      <c r="H57" s="16">
        <f>ROUND(G57*$C$193,2)</f>
        <v>33</v>
      </c>
      <c r="J57" s="23">
        <f>(G57-C57)/C57</f>
        <v>2.8516665887522889E-2</v>
      </c>
      <c r="K57" s="25" t="s">
        <v>85</v>
      </c>
      <c r="L57" s="28" t="e">
        <f>VLOOKUP(K57,#REF!,3,0)</f>
        <v>#REF!</v>
      </c>
      <c r="M57" s="25" t="e">
        <f>IF(L57=C57,"YES","NO")</f>
        <v>#REF!</v>
      </c>
    </row>
    <row r="58" spans="2:13">
      <c r="B58" s="53" t="s">
        <v>86</v>
      </c>
      <c r="C58" s="20">
        <v>267.38000000000005</v>
      </c>
      <c r="D58" s="134">
        <f t="shared" si="13"/>
        <v>-0.21</v>
      </c>
      <c r="E58" s="134">
        <f t="shared" si="14"/>
        <v>267.17000000000007</v>
      </c>
      <c r="F58" s="70">
        <f t="shared" si="15"/>
        <v>7.84</v>
      </c>
      <c r="G58" s="8">
        <f t="shared" si="16"/>
        <v>275.01000000000005</v>
      </c>
      <c r="H58" s="16">
        <f>ROUND(G58*$C$193,2)</f>
        <v>41.25</v>
      </c>
      <c r="J58" s="23">
        <f>(G58-C58)/C58</f>
        <v>2.8536165756601069E-2</v>
      </c>
      <c r="K58" s="25" t="s">
        <v>87</v>
      </c>
      <c r="L58" s="28" t="e">
        <f>VLOOKUP(K58,#REF!,3,0)</f>
        <v>#REF!</v>
      </c>
      <c r="M58" s="25" t="e">
        <f>IF(L58=C58,"YES","NO")</f>
        <v>#REF!</v>
      </c>
    </row>
    <row r="59" spans="2:13">
      <c r="B59" s="53"/>
      <c r="C59" s="111"/>
      <c r="D59" s="137"/>
      <c r="E59" s="137"/>
      <c r="F59" s="113"/>
      <c r="G59" s="112"/>
      <c r="H59" s="114"/>
      <c r="J59" s="23"/>
      <c r="K59" s="25"/>
      <c r="L59" s="28"/>
      <c r="M59" s="25"/>
    </row>
    <row r="60" spans="2:13">
      <c r="B60" s="53" t="s">
        <v>88</v>
      </c>
      <c r="C60" s="20">
        <v>72.629999999999981</v>
      </c>
      <c r="D60" s="134">
        <f t="shared" ref="D60:D65" si="17">ROUND(C60*$H$7,2)</f>
        <v>-0.06</v>
      </c>
      <c r="E60" s="134">
        <f t="shared" ref="E60:E65" si="18">C60+D60</f>
        <v>72.569999999999979</v>
      </c>
      <c r="F60" s="70">
        <f t="shared" ref="F60:F65" si="19">ROUND(C60*$H$8,2)</f>
        <v>2.13</v>
      </c>
      <c r="G60" s="8">
        <f t="shared" ref="G60:G65" si="20">E60+F60</f>
        <v>74.699999999999974</v>
      </c>
      <c r="H60" s="16">
        <f t="shared" ref="H60:H65" si="21">ROUND(G60*$C$193,2)</f>
        <v>11.21</v>
      </c>
      <c r="I60" s="13"/>
      <c r="J60" s="23">
        <f t="shared" ref="J60:J65" si="22">(G60-C60)/C60</f>
        <v>2.8500619578686406E-2</v>
      </c>
      <c r="K60" s="26" t="s">
        <v>89</v>
      </c>
      <c r="L60" s="28" t="e">
        <f>VLOOKUP(K60,#REF!,3,0)</f>
        <v>#REF!</v>
      </c>
      <c r="M60" s="25" t="e">
        <f t="shared" ref="M60:M65" si="23">IF(L60=C60,"YES","NO")</f>
        <v>#REF!</v>
      </c>
    </row>
    <row r="61" spans="2:13">
      <c r="B61" s="53" t="s">
        <v>90</v>
      </c>
      <c r="C61" s="20">
        <v>145.32</v>
      </c>
      <c r="D61" s="134">
        <f t="shared" si="17"/>
        <v>-0.12</v>
      </c>
      <c r="E61" s="134">
        <f t="shared" si="18"/>
        <v>145.19999999999999</v>
      </c>
      <c r="F61" s="70">
        <f t="shared" si="19"/>
        <v>4.26</v>
      </c>
      <c r="G61" s="8">
        <f t="shared" si="20"/>
        <v>149.45999999999998</v>
      </c>
      <c r="H61" s="16">
        <f t="shared" si="21"/>
        <v>22.42</v>
      </c>
      <c r="I61" s="13"/>
      <c r="J61" s="23">
        <f t="shared" si="22"/>
        <v>2.8488852188274062E-2</v>
      </c>
      <c r="K61" s="26" t="s">
        <v>91</v>
      </c>
      <c r="L61" s="28" t="e">
        <f>VLOOKUP(K61,#REF!,3,0)</f>
        <v>#REF!</v>
      </c>
      <c r="M61" s="25" t="e">
        <f t="shared" si="23"/>
        <v>#REF!</v>
      </c>
    </row>
    <row r="62" spans="2:13">
      <c r="B62" s="53" t="s">
        <v>92</v>
      </c>
      <c r="C62" s="20">
        <v>217.91000000000003</v>
      </c>
      <c r="D62" s="134">
        <f t="shared" si="17"/>
        <v>-0.17</v>
      </c>
      <c r="E62" s="134">
        <f t="shared" si="18"/>
        <v>217.74000000000004</v>
      </c>
      <c r="F62" s="70">
        <f t="shared" si="19"/>
        <v>6.39</v>
      </c>
      <c r="G62" s="8">
        <f t="shared" si="20"/>
        <v>224.13000000000002</v>
      </c>
      <c r="H62" s="16">
        <f t="shared" si="21"/>
        <v>33.619999999999997</v>
      </c>
      <c r="I62" s="13"/>
      <c r="J62" s="23">
        <f t="shared" si="22"/>
        <v>2.8543894268275884E-2</v>
      </c>
      <c r="K62" s="26" t="s">
        <v>93</v>
      </c>
      <c r="L62" s="28" t="e">
        <f>VLOOKUP(K62,#REF!,3,0)</f>
        <v>#REF!</v>
      </c>
      <c r="M62" s="25" t="e">
        <f t="shared" si="23"/>
        <v>#REF!</v>
      </c>
    </row>
    <row r="63" spans="2:13">
      <c r="B63" s="53" t="s">
        <v>94</v>
      </c>
      <c r="C63" s="20">
        <v>290.53999999999996</v>
      </c>
      <c r="D63" s="134">
        <f t="shared" si="17"/>
        <v>-0.23</v>
      </c>
      <c r="E63" s="134">
        <f t="shared" si="18"/>
        <v>290.30999999999995</v>
      </c>
      <c r="F63" s="70">
        <f t="shared" si="19"/>
        <v>8.52</v>
      </c>
      <c r="G63" s="8">
        <f t="shared" si="20"/>
        <v>298.82999999999993</v>
      </c>
      <c r="H63" s="16">
        <f t="shared" si="21"/>
        <v>44.82</v>
      </c>
      <c r="I63" s="13"/>
      <c r="J63" s="23">
        <f t="shared" si="22"/>
        <v>2.8533076340607023E-2</v>
      </c>
      <c r="K63" s="26" t="s">
        <v>95</v>
      </c>
      <c r="L63" s="28" t="e">
        <f>VLOOKUP(K63,#REF!,3,0)</f>
        <v>#REF!</v>
      </c>
      <c r="M63" s="25" t="e">
        <f t="shared" si="23"/>
        <v>#REF!</v>
      </c>
    </row>
    <row r="64" spans="2:13">
      <c r="B64" s="53" t="s">
        <v>96</v>
      </c>
      <c r="C64" s="20">
        <v>363.18999999999994</v>
      </c>
      <c r="D64" s="134">
        <f t="shared" si="17"/>
        <v>-0.28999999999999998</v>
      </c>
      <c r="E64" s="134">
        <f t="shared" si="18"/>
        <v>362.89999999999992</v>
      </c>
      <c r="F64" s="70">
        <f t="shared" si="19"/>
        <v>10.65</v>
      </c>
      <c r="G64" s="8">
        <f t="shared" si="20"/>
        <v>373.5499999999999</v>
      </c>
      <c r="H64" s="16">
        <f t="shared" si="21"/>
        <v>56.03</v>
      </c>
      <c r="I64" s="13"/>
      <c r="J64" s="23">
        <f t="shared" si="22"/>
        <v>2.8525014455243698E-2</v>
      </c>
      <c r="K64" s="26" t="s">
        <v>97</v>
      </c>
      <c r="L64" s="28" t="e">
        <f>VLOOKUP(K64,#REF!,3,0)</f>
        <v>#REF!</v>
      </c>
      <c r="M64" s="25" t="e">
        <f t="shared" si="23"/>
        <v>#REF!</v>
      </c>
    </row>
    <row r="65" spans="2:13">
      <c r="B65" s="53" t="s">
        <v>98</v>
      </c>
      <c r="C65" s="20">
        <v>435.85000000000008</v>
      </c>
      <c r="D65" s="134">
        <f t="shared" si="17"/>
        <v>-0.35</v>
      </c>
      <c r="E65" s="134">
        <f t="shared" si="18"/>
        <v>435.50000000000006</v>
      </c>
      <c r="F65" s="70">
        <f t="shared" si="19"/>
        <v>12.78</v>
      </c>
      <c r="G65" s="8">
        <f t="shared" si="20"/>
        <v>448.28000000000003</v>
      </c>
      <c r="H65" s="16">
        <f t="shared" si="21"/>
        <v>67.239999999999995</v>
      </c>
      <c r="I65" s="13"/>
      <c r="J65" s="23">
        <f t="shared" si="22"/>
        <v>2.8518985889640813E-2</v>
      </c>
      <c r="K65" s="26" t="s">
        <v>99</v>
      </c>
      <c r="L65" s="28" t="e">
        <f>VLOOKUP(K65,#REF!,3,0)</f>
        <v>#REF!</v>
      </c>
      <c r="M65" s="25" t="e">
        <f t="shared" si="23"/>
        <v>#REF!</v>
      </c>
    </row>
    <row r="66" spans="2:13">
      <c r="B66" s="53"/>
      <c r="C66" s="20"/>
      <c r="D66" s="138"/>
      <c r="E66" s="138"/>
      <c r="F66" s="63"/>
      <c r="G66" s="8"/>
      <c r="H66" s="16"/>
      <c r="I66" s="13"/>
      <c r="J66" s="23"/>
      <c r="K66" s="26"/>
      <c r="L66" s="28"/>
      <c r="M66" s="25"/>
    </row>
    <row r="67" spans="2:13">
      <c r="B67" s="53" t="s">
        <v>100</v>
      </c>
      <c r="C67" s="20">
        <v>108.90000000000003</v>
      </c>
      <c r="D67" s="134">
        <f t="shared" ref="D67:D72" si="24">ROUND(C67*$H$7,2)</f>
        <v>-0.09</v>
      </c>
      <c r="E67" s="134">
        <f t="shared" ref="E67:E72" si="25">C67+D67</f>
        <v>108.81000000000003</v>
      </c>
      <c r="F67" s="70">
        <f t="shared" ref="F67:F72" si="26">ROUND(C67*$H$8,2)</f>
        <v>3.19</v>
      </c>
      <c r="G67" s="8">
        <f t="shared" ref="G67:G72" si="27">E67+F67</f>
        <v>112.00000000000003</v>
      </c>
      <c r="H67" s="16">
        <f t="shared" ref="H67:H72" si="28">ROUND(G67*$C$193,2)</f>
        <v>16.8</v>
      </c>
      <c r="I67" s="13"/>
      <c r="J67" s="23">
        <f t="shared" ref="J67:J72" si="29">(G67-C67)/C67</f>
        <v>2.8466483011937497E-2</v>
      </c>
      <c r="K67" s="26" t="s">
        <v>101</v>
      </c>
      <c r="L67" s="28" t="e">
        <f>VLOOKUP(K67,#REF!,3,0)</f>
        <v>#REF!</v>
      </c>
      <c r="M67" s="25" t="e">
        <f t="shared" ref="M67:M72" si="30">IF(L67=C67,"YES","NO")</f>
        <v>#REF!</v>
      </c>
    </row>
    <row r="68" spans="2:13">
      <c r="B68" s="53" t="s">
        <v>102</v>
      </c>
      <c r="C68" s="20">
        <v>217.91000000000003</v>
      </c>
      <c r="D68" s="134">
        <f t="shared" si="24"/>
        <v>-0.17</v>
      </c>
      <c r="E68" s="134">
        <f t="shared" si="25"/>
        <v>217.74000000000004</v>
      </c>
      <c r="F68" s="70">
        <f t="shared" si="26"/>
        <v>6.39</v>
      </c>
      <c r="G68" s="8">
        <f t="shared" si="27"/>
        <v>224.13000000000002</v>
      </c>
      <c r="H68" s="16">
        <f t="shared" si="28"/>
        <v>33.619999999999997</v>
      </c>
      <c r="I68" s="13"/>
      <c r="J68" s="23">
        <f t="shared" si="29"/>
        <v>2.8543894268275884E-2</v>
      </c>
      <c r="K68" s="26" t="s">
        <v>103</v>
      </c>
      <c r="L68" s="28" t="e">
        <f>VLOOKUP(K68,#REF!,3,0)</f>
        <v>#REF!</v>
      </c>
      <c r="M68" s="25" t="e">
        <f t="shared" si="30"/>
        <v>#REF!</v>
      </c>
    </row>
    <row r="69" spans="2:13">
      <c r="B69" s="53" t="s">
        <v>104</v>
      </c>
      <c r="C69" s="20">
        <v>326.81</v>
      </c>
      <c r="D69" s="134">
        <f t="shared" si="24"/>
        <v>-0.26</v>
      </c>
      <c r="E69" s="134">
        <f t="shared" si="25"/>
        <v>326.55</v>
      </c>
      <c r="F69" s="70">
        <f t="shared" si="26"/>
        <v>9.58</v>
      </c>
      <c r="G69" s="8">
        <f t="shared" si="27"/>
        <v>336.13</v>
      </c>
      <c r="H69" s="16">
        <f t="shared" si="28"/>
        <v>50.42</v>
      </c>
      <c r="I69" s="13"/>
      <c r="J69" s="23">
        <f t="shared" si="29"/>
        <v>2.8518099201370807E-2</v>
      </c>
      <c r="K69" s="26" t="s">
        <v>105</v>
      </c>
      <c r="L69" s="28" t="e">
        <f>VLOOKUP(K69,#REF!,3,0)</f>
        <v>#REF!</v>
      </c>
      <c r="M69" s="25" t="e">
        <f t="shared" si="30"/>
        <v>#REF!</v>
      </c>
    </row>
    <row r="70" spans="2:13">
      <c r="B70" s="53" t="s">
        <v>106</v>
      </c>
      <c r="C70" s="20">
        <v>435.85000000000008</v>
      </c>
      <c r="D70" s="134">
        <f t="shared" si="24"/>
        <v>-0.35</v>
      </c>
      <c r="E70" s="134">
        <f t="shared" si="25"/>
        <v>435.50000000000006</v>
      </c>
      <c r="F70" s="70">
        <f t="shared" si="26"/>
        <v>12.78</v>
      </c>
      <c r="G70" s="8">
        <f t="shared" si="27"/>
        <v>448.28000000000003</v>
      </c>
      <c r="H70" s="16">
        <f t="shared" si="28"/>
        <v>67.239999999999995</v>
      </c>
      <c r="I70" s="13"/>
      <c r="J70" s="23">
        <f t="shared" si="29"/>
        <v>2.8518985889640813E-2</v>
      </c>
      <c r="K70" s="26" t="s">
        <v>107</v>
      </c>
      <c r="L70" s="28" t="e">
        <f>VLOOKUP(K70,#REF!,3,0)</f>
        <v>#REF!</v>
      </c>
      <c r="M70" s="25" t="e">
        <f t="shared" si="30"/>
        <v>#REF!</v>
      </c>
    </row>
    <row r="71" spans="2:13">
      <c r="B71" s="53" t="s">
        <v>108</v>
      </c>
      <c r="C71" s="20">
        <v>544.74</v>
      </c>
      <c r="D71" s="134">
        <f t="shared" si="24"/>
        <v>-0.44</v>
      </c>
      <c r="E71" s="134">
        <f t="shared" si="25"/>
        <v>544.29999999999995</v>
      </c>
      <c r="F71" s="70">
        <f t="shared" si="26"/>
        <v>15.97</v>
      </c>
      <c r="G71" s="8">
        <f t="shared" si="27"/>
        <v>560.27</v>
      </c>
      <c r="H71" s="16">
        <f t="shared" si="28"/>
        <v>84.04</v>
      </c>
      <c r="I71" s="13"/>
      <c r="J71" s="23">
        <f t="shared" si="29"/>
        <v>2.8509013474317974E-2</v>
      </c>
      <c r="K71" s="26" t="s">
        <v>109</v>
      </c>
      <c r="L71" s="28" t="e">
        <f>VLOOKUP(K71,#REF!,3,0)</f>
        <v>#REF!</v>
      </c>
      <c r="M71" s="25" t="e">
        <f t="shared" si="30"/>
        <v>#REF!</v>
      </c>
    </row>
    <row r="72" spans="2:13">
      <c r="B72" s="53" t="s">
        <v>110</v>
      </c>
      <c r="C72" s="20">
        <v>653.7600000000001</v>
      </c>
      <c r="D72" s="134">
        <f t="shared" si="24"/>
        <v>-0.52</v>
      </c>
      <c r="E72" s="134">
        <f t="shared" si="25"/>
        <v>653.24000000000012</v>
      </c>
      <c r="F72" s="70">
        <f t="shared" si="26"/>
        <v>19.170000000000002</v>
      </c>
      <c r="G72" s="8">
        <f t="shared" si="27"/>
        <v>672.41000000000008</v>
      </c>
      <c r="H72" s="16">
        <f t="shared" si="28"/>
        <v>100.86</v>
      </c>
      <c r="I72" s="13"/>
      <c r="J72" s="23">
        <f t="shared" si="29"/>
        <v>2.8527288301517337E-2</v>
      </c>
      <c r="K72" s="26" t="s">
        <v>111</v>
      </c>
      <c r="L72" s="28" t="e">
        <f>VLOOKUP(K72,#REF!,3,0)</f>
        <v>#REF!</v>
      </c>
      <c r="M72" s="25" t="e">
        <f t="shared" si="30"/>
        <v>#REF!</v>
      </c>
    </row>
    <row r="73" spans="2:13">
      <c r="B73" s="53"/>
      <c r="C73" s="20"/>
      <c r="D73" s="138"/>
      <c r="E73" s="138"/>
      <c r="F73" s="63"/>
      <c r="G73" s="8"/>
      <c r="H73" s="16"/>
      <c r="I73" s="13"/>
      <c r="J73" s="23"/>
      <c r="K73" s="26"/>
      <c r="L73" s="28"/>
      <c r="M73" s="25"/>
    </row>
    <row r="74" spans="2:13">
      <c r="B74" s="53" t="s">
        <v>112</v>
      </c>
      <c r="C74" s="20">
        <v>145.32</v>
      </c>
      <c r="D74" s="134">
        <f t="shared" ref="D74:D79" si="31">ROUND(C74*$H$7,2)</f>
        <v>-0.12</v>
      </c>
      <c r="E74" s="134">
        <f t="shared" ref="E74:E79" si="32">C74+D74</f>
        <v>145.19999999999999</v>
      </c>
      <c r="F74" s="70">
        <f t="shared" ref="F74:F79" si="33">ROUND(C74*$H$8,2)</f>
        <v>4.26</v>
      </c>
      <c r="G74" s="8">
        <f t="shared" ref="G74:G79" si="34">E74+F74</f>
        <v>149.45999999999998</v>
      </c>
      <c r="H74" s="16">
        <f t="shared" ref="H74:H79" si="35">ROUND(G74*$C$193,2)</f>
        <v>22.42</v>
      </c>
      <c r="I74" s="13"/>
      <c r="J74" s="23">
        <f t="shared" ref="J74:J79" si="36">(G74-C74)/C74</f>
        <v>2.8488852188274062E-2</v>
      </c>
      <c r="K74" s="26" t="s">
        <v>113</v>
      </c>
      <c r="L74" s="28" t="e">
        <f>VLOOKUP(K74,#REF!,3,0)</f>
        <v>#REF!</v>
      </c>
      <c r="M74" s="25" t="e">
        <f t="shared" ref="M74:M79" si="37">IF(L74=C74,"YES","NO")</f>
        <v>#REF!</v>
      </c>
    </row>
    <row r="75" spans="2:13">
      <c r="B75" s="53" t="s">
        <v>114</v>
      </c>
      <c r="C75" s="20">
        <v>290.53999999999996</v>
      </c>
      <c r="D75" s="134">
        <f t="shared" si="31"/>
        <v>-0.23</v>
      </c>
      <c r="E75" s="134">
        <f t="shared" si="32"/>
        <v>290.30999999999995</v>
      </c>
      <c r="F75" s="70">
        <f t="shared" si="33"/>
        <v>8.52</v>
      </c>
      <c r="G75" s="8">
        <f t="shared" si="34"/>
        <v>298.82999999999993</v>
      </c>
      <c r="H75" s="16">
        <f t="shared" si="35"/>
        <v>44.82</v>
      </c>
      <c r="I75" s="13"/>
      <c r="J75" s="23">
        <f t="shared" si="36"/>
        <v>2.8533076340607023E-2</v>
      </c>
      <c r="K75" s="26" t="s">
        <v>115</v>
      </c>
      <c r="L75" s="28" t="e">
        <f>VLOOKUP(K75,#REF!,3,0)</f>
        <v>#REF!</v>
      </c>
      <c r="M75" s="25" t="e">
        <f t="shared" si="37"/>
        <v>#REF!</v>
      </c>
    </row>
    <row r="76" spans="2:13">
      <c r="B76" s="53" t="s">
        <v>116</v>
      </c>
      <c r="C76" s="20">
        <v>435.85000000000008</v>
      </c>
      <c r="D76" s="134">
        <f t="shared" si="31"/>
        <v>-0.35</v>
      </c>
      <c r="E76" s="134">
        <f t="shared" si="32"/>
        <v>435.50000000000006</v>
      </c>
      <c r="F76" s="70">
        <f t="shared" si="33"/>
        <v>12.78</v>
      </c>
      <c r="G76" s="8">
        <f t="shared" si="34"/>
        <v>448.28000000000003</v>
      </c>
      <c r="H76" s="16">
        <f t="shared" si="35"/>
        <v>67.239999999999995</v>
      </c>
      <c r="I76" s="13"/>
      <c r="J76" s="23">
        <f t="shared" si="36"/>
        <v>2.8518985889640813E-2</v>
      </c>
      <c r="K76" s="26" t="s">
        <v>117</v>
      </c>
      <c r="L76" s="28" t="e">
        <f>VLOOKUP(K76,#REF!,3,0)</f>
        <v>#REF!</v>
      </c>
      <c r="M76" s="25" t="e">
        <f t="shared" si="37"/>
        <v>#REF!</v>
      </c>
    </row>
    <row r="77" spans="2:13">
      <c r="B77" s="53" t="s">
        <v>118</v>
      </c>
      <c r="C77" s="20">
        <v>581.10999999999979</v>
      </c>
      <c r="D77" s="134">
        <f t="shared" si="31"/>
        <v>-0.47</v>
      </c>
      <c r="E77" s="134">
        <f t="shared" si="32"/>
        <v>580.63999999999976</v>
      </c>
      <c r="F77" s="70">
        <f t="shared" si="33"/>
        <v>17.04</v>
      </c>
      <c r="G77" s="8">
        <f t="shared" si="34"/>
        <v>597.67999999999972</v>
      </c>
      <c r="H77" s="16">
        <f t="shared" si="35"/>
        <v>89.65</v>
      </c>
      <c r="I77" s="13"/>
      <c r="J77" s="23">
        <f t="shared" si="36"/>
        <v>2.8514394864999643E-2</v>
      </c>
      <c r="K77" s="26" t="s">
        <v>119</v>
      </c>
      <c r="L77" s="28" t="e">
        <f>VLOOKUP(K77,#REF!,3,0)</f>
        <v>#REF!</v>
      </c>
      <c r="M77" s="25" t="e">
        <f t="shared" si="37"/>
        <v>#REF!</v>
      </c>
    </row>
    <row r="78" spans="2:13">
      <c r="B78" s="53" t="s">
        <v>120</v>
      </c>
      <c r="C78" s="20">
        <v>726.36999999999989</v>
      </c>
      <c r="D78" s="134">
        <f t="shared" si="31"/>
        <v>-0.57999999999999996</v>
      </c>
      <c r="E78" s="134">
        <f t="shared" si="32"/>
        <v>725.78999999999985</v>
      </c>
      <c r="F78" s="70">
        <f t="shared" si="33"/>
        <v>21.3</v>
      </c>
      <c r="G78" s="8">
        <f t="shared" si="34"/>
        <v>747.0899999999998</v>
      </c>
      <c r="H78" s="16">
        <f t="shared" si="35"/>
        <v>112.06</v>
      </c>
      <c r="I78" s="13"/>
      <c r="J78" s="23">
        <f t="shared" si="36"/>
        <v>2.8525407161639271E-2</v>
      </c>
      <c r="K78" s="26" t="s">
        <v>121</v>
      </c>
      <c r="L78" s="28" t="e">
        <f>VLOOKUP(K78,#REF!,3,0)</f>
        <v>#REF!</v>
      </c>
      <c r="M78" s="25" t="e">
        <f t="shared" si="37"/>
        <v>#REF!</v>
      </c>
    </row>
    <row r="79" spans="2:13">
      <c r="B79" s="53" t="s">
        <v>122</v>
      </c>
      <c r="C79" s="20">
        <v>871.6400000000001</v>
      </c>
      <c r="D79" s="134">
        <f t="shared" si="31"/>
        <v>-0.7</v>
      </c>
      <c r="E79" s="134">
        <f t="shared" si="32"/>
        <v>870.94</v>
      </c>
      <c r="F79" s="70">
        <f t="shared" si="33"/>
        <v>25.56</v>
      </c>
      <c r="G79" s="8">
        <f t="shared" si="34"/>
        <v>896.5</v>
      </c>
      <c r="H79" s="16">
        <f t="shared" si="35"/>
        <v>134.47999999999999</v>
      </c>
      <c r="I79" s="13"/>
      <c r="J79" s="23">
        <f t="shared" si="36"/>
        <v>2.8520949015648545E-2</v>
      </c>
      <c r="K79" s="26" t="s">
        <v>123</v>
      </c>
      <c r="L79" s="28" t="e">
        <f>VLOOKUP(K79,#REF!,3,0)</f>
        <v>#REF!</v>
      </c>
      <c r="M79" s="25" t="e">
        <f t="shared" si="37"/>
        <v>#REF!</v>
      </c>
    </row>
    <row r="80" spans="2:13">
      <c r="B80" s="53"/>
      <c r="C80" s="20"/>
      <c r="D80" s="138"/>
      <c r="E80" s="138"/>
      <c r="F80" s="63"/>
      <c r="G80" s="8"/>
      <c r="H80" s="16"/>
      <c r="I80" s="13"/>
      <c r="J80" s="23"/>
      <c r="K80" s="26"/>
      <c r="L80" s="28"/>
      <c r="M80" s="25"/>
    </row>
    <row r="81" spans="2:13">
      <c r="B81" s="53" t="s">
        <v>124</v>
      </c>
      <c r="C81" s="20">
        <v>217.91000000000003</v>
      </c>
      <c r="D81" s="134">
        <f t="shared" ref="D81:D86" si="38">ROUND(C81*$H$7,2)</f>
        <v>-0.17</v>
      </c>
      <c r="E81" s="134">
        <f t="shared" ref="E81:E86" si="39">C81+D81</f>
        <v>217.74000000000004</v>
      </c>
      <c r="F81" s="70">
        <f t="shared" ref="F81:F86" si="40">ROUND(C81*$H$8,2)</f>
        <v>6.39</v>
      </c>
      <c r="G81" s="8">
        <f t="shared" ref="G81:G86" si="41">E81+F81</f>
        <v>224.13000000000002</v>
      </c>
      <c r="H81" s="16">
        <f t="shared" ref="H81:H86" si="42">ROUND(G81*$C$193,2)</f>
        <v>33.619999999999997</v>
      </c>
      <c r="I81" s="13"/>
      <c r="J81" s="23">
        <f t="shared" ref="J81:J86" si="43">(G81-C81)/C81</f>
        <v>2.8543894268275884E-2</v>
      </c>
      <c r="K81" s="26" t="s">
        <v>125</v>
      </c>
      <c r="L81" s="28" t="e">
        <f>VLOOKUP(K81,#REF!,3,0)</f>
        <v>#REF!</v>
      </c>
      <c r="M81" s="25" t="e">
        <f t="shared" ref="M81:M86" si="44">IF(L81=C81,"YES","NO")</f>
        <v>#REF!</v>
      </c>
    </row>
    <row r="82" spans="2:13">
      <c r="B82" s="53" t="s">
        <v>126</v>
      </c>
      <c r="C82" s="20">
        <v>435.85000000000008</v>
      </c>
      <c r="D82" s="134">
        <f t="shared" si="38"/>
        <v>-0.35</v>
      </c>
      <c r="E82" s="134">
        <f t="shared" si="39"/>
        <v>435.50000000000006</v>
      </c>
      <c r="F82" s="70">
        <f t="shared" si="40"/>
        <v>12.78</v>
      </c>
      <c r="G82" s="8">
        <f t="shared" si="41"/>
        <v>448.28000000000003</v>
      </c>
      <c r="H82" s="16">
        <f t="shared" si="42"/>
        <v>67.239999999999995</v>
      </c>
      <c r="I82" s="13"/>
      <c r="J82" s="23">
        <f t="shared" si="43"/>
        <v>2.8518985889640813E-2</v>
      </c>
      <c r="K82" s="26" t="s">
        <v>127</v>
      </c>
      <c r="L82" s="28" t="e">
        <f>VLOOKUP(K82,#REF!,3,0)</f>
        <v>#REF!</v>
      </c>
      <c r="M82" s="25" t="e">
        <f t="shared" si="44"/>
        <v>#REF!</v>
      </c>
    </row>
    <row r="83" spans="2:13">
      <c r="B83" s="53" t="s">
        <v>128</v>
      </c>
      <c r="C83" s="20">
        <v>653.7600000000001</v>
      </c>
      <c r="D83" s="134">
        <f t="shared" si="38"/>
        <v>-0.52</v>
      </c>
      <c r="E83" s="134">
        <f t="shared" si="39"/>
        <v>653.24000000000012</v>
      </c>
      <c r="F83" s="70">
        <f t="shared" si="40"/>
        <v>19.170000000000002</v>
      </c>
      <c r="G83" s="8">
        <f t="shared" si="41"/>
        <v>672.41000000000008</v>
      </c>
      <c r="H83" s="16">
        <f t="shared" si="42"/>
        <v>100.86</v>
      </c>
      <c r="I83" s="13"/>
      <c r="J83" s="23">
        <f t="shared" si="43"/>
        <v>2.8527288301517337E-2</v>
      </c>
      <c r="K83" s="26" t="s">
        <v>129</v>
      </c>
      <c r="L83" s="28" t="e">
        <f>VLOOKUP(K83,#REF!,3,0)</f>
        <v>#REF!</v>
      </c>
      <c r="M83" s="25" t="e">
        <f t="shared" si="44"/>
        <v>#REF!</v>
      </c>
    </row>
    <row r="84" spans="2:13">
      <c r="B84" s="53" t="s">
        <v>130</v>
      </c>
      <c r="C84" s="20">
        <v>871.6400000000001</v>
      </c>
      <c r="D84" s="134">
        <f t="shared" si="38"/>
        <v>-0.7</v>
      </c>
      <c r="E84" s="134">
        <f t="shared" si="39"/>
        <v>870.94</v>
      </c>
      <c r="F84" s="70">
        <f t="shared" si="40"/>
        <v>25.56</v>
      </c>
      <c r="G84" s="8">
        <f t="shared" si="41"/>
        <v>896.5</v>
      </c>
      <c r="H84" s="16">
        <f t="shared" si="42"/>
        <v>134.47999999999999</v>
      </c>
      <c r="I84" s="13"/>
      <c r="J84" s="23">
        <f t="shared" si="43"/>
        <v>2.8520949015648545E-2</v>
      </c>
      <c r="K84" s="26" t="s">
        <v>131</v>
      </c>
      <c r="L84" s="28" t="e">
        <f>VLOOKUP(K84,#REF!,3,0)</f>
        <v>#REF!</v>
      </c>
      <c r="M84" s="25" t="e">
        <f t="shared" si="44"/>
        <v>#REF!</v>
      </c>
    </row>
    <row r="85" spans="2:13">
      <c r="B85" s="53" t="s">
        <v>132</v>
      </c>
      <c r="C85" s="20">
        <v>1089.56</v>
      </c>
      <c r="D85" s="134">
        <f t="shared" si="38"/>
        <v>-0.87</v>
      </c>
      <c r="E85" s="134">
        <f t="shared" si="39"/>
        <v>1088.69</v>
      </c>
      <c r="F85" s="70">
        <f t="shared" si="40"/>
        <v>31.95</v>
      </c>
      <c r="G85" s="8">
        <f t="shared" si="41"/>
        <v>1120.6400000000001</v>
      </c>
      <c r="H85" s="16">
        <f t="shared" si="42"/>
        <v>168.1</v>
      </c>
      <c r="I85" s="13"/>
      <c r="J85" s="23">
        <f t="shared" si="43"/>
        <v>2.852527625830625E-2</v>
      </c>
      <c r="K85" s="26" t="s">
        <v>133</v>
      </c>
      <c r="L85" s="28" t="e">
        <f>VLOOKUP(K85,#REF!,3,0)</f>
        <v>#REF!</v>
      </c>
      <c r="M85" s="25" t="e">
        <f t="shared" si="44"/>
        <v>#REF!</v>
      </c>
    </row>
    <row r="86" spans="2:13">
      <c r="B86" s="53" t="s">
        <v>134</v>
      </c>
      <c r="C86" s="20">
        <v>1307.4900000000002</v>
      </c>
      <c r="D86" s="134">
        <f t="shared" si="38"/>
        <v>-1.05</v>
      </c>
      <c r="E86" s="134">
        <f t="shared" si="39"/>
        <v>1306.4400000000003</v>
      </c>
      <c r="F86" s="70">
        <f t="shared" si="40"/>
        <v>38.340000000000003</v>
      </c>
      <c r="G86" s="8">
        <f t="shared" si="41"/>
        <v>1344.7800000000002</v>
      </c>
      <c r="H86" s="16">
        <f t="shared" si="42"/>
        <v>201.72</v>
      </c>
      <c r="I86" s="13"/>
      <c r="J86" s="23">
        <f t="shared" si="43"/>
        <v>2.8520294610283794E-2</v>
      </c>
      <c r="K86" s="26" t="s">
        <v>135</v>
      </c>
      <c r="L86" s="28" t="e">
        <f>VLOOKUP(K86,#REF!,3,0)</f>
        <v>#REF!</v>
      </c>
      <c r="M86" s="25" t="e">
        <f t="shared" si="44"/>
        <v>#REF!</v>
      </c>
    </row>
    <row r="87" spans="2:13">
      <c r="B87" s="53"/>
      <c r="C87" s="20"/>
      <c r="D87" s="138"/>
      <c r="E87" s="138"/>
      <c r="F87" s="63"/>
      <c r="G87" s="8"/>
      <c r="H87" s="16"/>
      <c r="I87" s="13"/>
      <c r="J87" s="23"/>
      <c r="K87" s="26"/>
      <c r="L87" s="28"/>
      <c r="M87" s="25"/>
    </row>
    <row r="88" spans="2:13">
      <c r="B88" s="53" t="s">
        <v>136</v>
      </c>
      <c r="C88" s="20">
        <v>290.53999999999996</v>
      </c>
      <c r="D88" s="134">
        <f t="shared" ref="D88:D93" si="45">ROUND(C88*$H$7,2)</f>
        <v>-0.23</v>
      </c>
      <c r="E88" s="134">
        <f t="shared" ref="E88:E93" si="46">C88+D88</f>
        <v>290.30999999999995</v>
      </c>
      <c r="F88" s="70">
        <f t="shared" ref="F88:F93" si="47">ROUND(C88*$H$8,2)</f>
        <v>8.52</v>
      </c>
      <c r="G88" s="8">
        <f t="shared" ref="G88:G93" si="48">E88+F88</f>
        <v>298.82999999999993</v>
      </c>
      <c r="H88" s="16">
        <f t="shared" ref="H88:H93" si="49">ROUND(G88*$C$193,2)</f>
        <v>44.82</v>
      </c>
      <c r="I88" s="13"/>
      <c r="J88" s="23">
        <f t="shared" ref="J88:J93" si="50">(G88-C88)/C88</f>
        <v>2.8533076340607023E-2</v>
      </c>
      <c r="K88" s="26" t="s">
        <v>137</v>
      </c>
      <c r="L88" s="28" t="e">
        <f>VLOOKUP(K88,#REF!,3,0)</f>
        <v>#REF!</v>
      </c>
      <c r="M88" s="25" t="e">
        <f t="shared" ref="M88:M93" si="51">IF(L88=C88,"YES","NO")</f>
        <v>#REF!</v>
      </c>
    </row>
    <row r="89" spans="2:13">
      <c r="B89" s="53" t="s">
        <v>138</v>
      </c>
      <c r="C89" s="20">
        <v>581.10999999999979</v>
      </c>
      <c r="D89" s="134">
        <f t="shared" si="45"/>
        <v>-0.47</v>
      </c>
      <c r="E89" s="134">
        <f t="shared" si="46"/>
        <v>580.63999999999976</v>
      </c>
      <c r="F89" s="70">
        <f t="shared" si="47"/>
        <v>17.04</v>
      </c>
      <c r="G89" s="8">
        <f t="shared" si="48"/>
        <v>597.67999999999972</v>
      </c>
      <c r="H89" s="16">
        <f t="shared" si="49"/>
        <v>89.65</v>
      </c>
      <c r="I89" s="13"/>
      <c r="J89" s="23">
        <f t="shared" si="50"/>
        <v>2.8514394864999643E-2</v>
      </c>
      <c r="K89" s="26" t="s">
        <v>139</v>
      </c>
      <c r="L89" s="28" t="e">
        <f>VLOOKUP(K89,#REF!,3,0)</f>
        <v>#REF!</v>
      </c>
      <c r="M89" s="25" t="e">
        <f t="shared" si="51"/>
        <v>#REF!</v>
      </c>
    </row>
    <row r="90" spans="2:13">
      <c r="B90" s="53" t="s">
        <v>140</v>
      </c>
      <c r="C90" s="20">
        <v>871.6400000000001</v>
      </c>
      <c r="D90" s="134">
        <f t="shared" si="45"/>
        <v>-0.7</v>
      </c>
      <c r="E90" s="134">
        <f t="shared" si="46"/>
        <v>870.94</v>
      </c>
      <c r="F90" s="70">
        <f t="shared" si="47"/>
        <v>25.56</v>
      </c>
      <c r="G90" s="8">
        <f t="shared" si="48"/>
        <v>896.5</v>
      </c>
      <c r="H90" s="16">
        <f t="shared" si="49"/>
        <v>134.47999999999999</v>
      </c>
      <c r="I90" s="13"/>
      <c r="J90" s="23">
        <f t="shared" si="50"/>
        <v>2.8520949015648545E-2</v>
      </c>
      <c r="K90" s="26" t="s">
        <v>141</v>
      </c>
      <c r="L90" s="28" t="e">
        <f>VLOOKUP(K90,#REF!,3,0)</f>
        <v>#REF!</v>
      </c>
      <c r="M90" s="25" t="e">
        <f t="shared" si="51"/>
        <v>#REF!</v>
      </c>
    </row>
    <row r="91" spans="2:13">
      <c r="B91" s="53" t="s">
        <v>142</v>
      </c>
      <c r="C91" s="20">
        <v>1162.1799999999996</v>
      </c>
      <c r="D91" s="134">
        <f t="shared" si="45"/>
        <v>-0.93</v>
      </c>
      <c r="E91" s="134">
        <f t="shared" si="46"/>
        <v>1161.2499999999995</v>
      </c>
      <c r="F91" s="70">
        <f t="shared" si="47"/>
        <v>34.08</v>
      </c>
      <c r="G91" s="8">
        <f t="shared" si="48"/>
        <v>1195.3299999999995</v>
      </c>
      <c r="H91" s="16">
        <f t="shared" si="49"/>
        <v>179.3</v>
      </c>
      <c r="I91" s="13"/>
      <c r="J91" s="23">
        <f t="shared" si="50"/>
        <v>2.8523980794713275E-2</v>
      </c>
      <c r="K91" s="26" t="s">
        <v>143</v>
      </c>
      <c r="L91" s="28" t="e">
        <f>VLOOKUP(K91,#REF!,3,0)</f>
        <v>#REF!</v>
      </c>
      <c r="M91" s="25" t="e">
        <f t="shared" si="51"/>
        <v>#REF!</v>
      </c>
    </row>
    <row r="92" spans="2:13">
      <c r="B92" s="53" t="s">
        <v>144</v>
      </c>
      <c r="C92" s="20">
        <v>1452.7499999999998</v>
      </c>
      <c r="D92" s="134">
        <f t="shared" si="45"/>
        <v>-1.1599999999999999</v>
      </c>
      <c r="E92" s="134">
        <f t="shared" si="46"/>
        <v>1451.5899999999997</v>
      </c>
      <c r="F92" s="70">
        <f t="shared" si="47"/>
        <v>42.6</v>
      </c>
      <c r="G92" s="8">
        <f t="shared" si="48"/>
        <v>1494.1899999999996</v>
      </c>
      <c r="H92" s="16">
        <f t="shared" si="49"/>
        <v>224.13</v>
      </c>
      <c r="I92" s="13"/>
      <c r="J92" s="23">
        <f t="shared" si="50"/>
        <v>2.8525210807089887E-2</v>
      </c>
      <c r="K92" s="26" t="s">
        <v>145</v>
      </c>
      <c r="L92" s="28" t="e">
        <f>VLOOKUP(K92,#REF!,3,0)</f>
        <v>#REF!</v>
      </c>
      <c r="M92" s="25" t="e">
        <f t="shared" si="51"/>
        <v>#REF!</v>
      </c>
    </row>
    <row r="93" spans="2:13">
      <c r="B93" s="53" t="s">
        <v>146</v>
      </c>
      <c r="C93" s="20">
        <v>1743.3200000000004</v>
      </c>
      <c r="D93" s="134">
        <f t="shared" si="45"/>
        <v>-1.4</v>
      </c>
      <c r="E93" s="134">
        <f t="shared" si="46"/>
        <v>1741.9200000000003</v>
      </c>
      <c r="F93" s="70">
        <f t="shared" si="47"/>
        <v>51.12</v>
      </c>
      <c r="G93" s="8">
        <f t="shared" si="48"/>
        <v>1793.0400000000002</v>
      </c>
      <c r="H93" s="16">
        <f t="shared" si="49"/>
        <v>268.95999999999998</v>
      </c>
      <c r="I93" s="13"/>
      <c r="J93" s="23">
        <f t="shared" si="50"/>
        <v>2.8520294610283704E-2</v>
      </c>
      <c r="K93" s="26" t="s">
        <v>147</v>
      </c>
      <c r="L93" s="28" t="e">
        <f>VLOOKUP(K93,#REF!,3,0)</f>
        <v>#REF!</v>
      </c>
      <c r="M93" s="25" t="e">
        <f t="shared" si="51"/>
        <v>#REF!</v>
      </c>
    </row>
    <row r="94" spans="2:13">
      <c r="B94" s="53"/>
      <c r="C94" s="20"/>
      <c r="D94" s="138"/>
      <c r="E94" s="138"/>
      <c r="F94" s="63"/>
      <c r="G94" s="8"/>
      <c r="H94" s="16"/>
      <c r="I94" s="13"/>
      <c r="J94" s="23"/>
      <c r="K94" s="25"/>
      <c r="L94" s="28"/>
      <c r="M94" s="25"/>
    </row>
    <row r="95" spans="2:13">
      <c r="B95" s="53" t="s">
        <v>148</v>
      </c>
      <c r="C95" s="20">
        <v>435.85000000000008</v>
      </c>
      <c r="D95" s="134">
        <f t="shared" ref="D95:D100" si="52">ROUND(C95*$H$7,2)</f>
        <v>-0.35</v>
      </c>
      <c r="E95" s="134">
        <f t="shared" ref="E95:E100" si="53">C95+D95</f>
        <v>435.50000000000006</v>
      </c>
      <c r="F95" s="70">
        <f t="shared" ref="F95:F100" si="54">ROUND(C95*$H$8,2)</f>
        <v>12.78</v>
      </c>
      <c r="G95" s="8">
        <f t="shared" ref="G95:G100" si="55">E95+F95</f>
        <v>448.28000000000003</v>
      </c>
      <c r="H95" s="16">
        <f t="shared" ref="H95:H100" si="56">ROUND(G95*$C$193,2)</f>
        <v>67.239999999999995</v>
      </c>
      <c r="I95" s="13"/>
      <c r="J95" s="23">
        <f t="shared" ref="J95:J100" si="57">(G95-C95)/C95</f>
        <v>2.8518985889640813E-2</v>
      </c>
      <c r="K95" s="26" t="s">
        <v>149</v>
      </c>
      <c r="L95" s="28" t="e">
        <f>VLOOKUP(K95,#REF!,3,0)</f>
        <v>#REF!</v>
      </c>
      <c r="M95" s="25" t="e">
        <f t="shared" ref="M95:M100" si="58">IF(L95=C95,"YES","NO")</f>
        <v>#REF!</v>
      </c>
    </row>
    <row r="96" spans="2:13">
      <c r="B96" s="53" t="s">
        <v>150</v>
      </c>
      <c r="C96" s="20">
        <v>871.6400000000001</v>
      </c>
      <c r="D96" s="134">
        <f t="shared" si="52"/>
        <v>-0.7</v>
      </c>
      <c r="E96" s="134">
        <f t="shared" si="53"/>
        <v>870.94</v>
      </c>
      <c r="F96" s="70">
        <f t="shared" si="54"/>
        <v>25.56</v>
      </c>
      <c r="G96" s="8">
        <f t="shared" si="55"/>
        <v>896.5</v>
      </c>
      <c r="H96" s="16">
        <f t="shared" si="56"/>
        <v>134.47999999999999</v>
      </c>
      <c r="I96" s="13"/>
      <c r="J96" s="23">
        <f t="shared" si="57"/>
        <v>2.8520949015648545E-2</v>
      </c>
      <c r="K96" s="26" t="s">
        <v>151</v>
      </c>
      <c r="L96" s="28" t="e">
        <f>VLOOKUP(K96,#REF!,3,0)</f>
        <v>#REF!</v>
      </c>
      <c r="M96" s="25" t="e">
        <f t="shared" si="58"/>
        <v>#REF!</v>
      </c>
    </row>
    <row r="97" spans="2:13">
      <c r="B97" s="53" t="s">
        <v>152</v>
      </c>
      <c r="C97" s="20">
        <v>1307.4900000000002</v>
      </c>
      <c r="D97" s="134">
        <f t="shared" si="52"/>
        <v>-1.05</v>
      </c>
      <c r="E97" s="134">
        <f t="shared" si="53"/>
        <v>1306.4400000000003</v>
      </c>
      <c r="F97" s="70">
        <f t="shared" si="54"/>
        <v>38.340000000000003</v>
      </c>
      <c r="G97" s="8">
        <f t="shared" si="55"/>
        <v>1344.7800000000002</v>
      </c>
      <c r="H97" s="16">
        <f t="shared" si="56"/>
        <v>201.72</v>
      </c>
      <c r="I97" s="13"/>
      <c r="J97" s="23">
        <f t="shared" si="57"/>
        <v>2.8520294610283794E-2</v>
      </c>
      <c r="K97" s="26" t="s">
        <v>153</v>
      </c>
      <c r="L97" s="28" t="e">
        <f>VLOOKUP(K97,#REF!,3,0)</f>
        <v>#REF!</v>
      </c>
      <c r="M97" s="25" t="e">
        <f t="shared" si="58"/>
        <v>#REF!</v>
      </c>
    </row>
    <row r="98" spans="2:13">
      <c r="B98" s="53" t="s">
        <v>154</v>
      </c>
      <c r="C98" s="20">
        <v>1743.3200000000004</v>
      </c>
      <c r="D98" s="134">
        <f t="shared" si="52"/>
        <v>-1.4</v>
      </c>
      <c r="E98" s="134">
        <f t="shared" si="53"/>
        <v>1741.9200000000003</v>
      </c>
      <c r="F98" s="70">
        <f t="shared" si="54"/>
        <v>51.12</v>
      </c>
      <c r="G98" s="8">
        <f t="shared" si="55"/>
        <v>1793.0400000000002</v>
      </c>
      <c r="H98" s="16">
        <f t="shared" si="56"/>
        <v>268.95999999999998</v>
      </c>
      <c r="I98" s="13"/>
      <c r="J98" s="23">
        <f t="shared" si="57"/>
        <v>2.8520294610283704E-2</v>
      </c>
      <c r="K98" s="26" t="s">
        <v>155</v>
      </c>
      <c r="L98" s="28" t="e">
        <f>VLOOKUP(K98,#REF!,3,0)</f>
        <v>#REF!</v>
      </c>
      <c r="M98" s="25" t="e">
        <f t="shared" si="58"/>
        <v>#REF!</v>
      </c>
    </row>
    <row r="99" spans="2:13">
      <c r="B99" s="53" t="s">
        <v>156</v>
      </c>
      <c r="C99" s="20">
        <v>2179.1300000000006</v>
      </c>
      <c r="D99" s="134">
        <f t="shared" si="52"/>
        <v>-1.74</v>
      </c>
      <c r="E99" s="134">
        <f t="shared" si="53"/>
        <v>2177.3900000000008</v>
      </c>
      <c r="F99" s="70">
        <f t="shared" si="54"/>
        <v>63.9</v>
      </c>
      <c r="G99" s="8">
        <f t="shared" si="55"/>
        <v>2241.2900000000009</v>
      </c>
      <c r="H99" s="16">
        <f t="shared" si="56"/>
        <v>336.19</v>
      </c>
      <c r="I99" s="13"/>
      <c r="J99" s="23">
        <f t="shared" si="57"/>
        <v>2.8525145356174387E-2</v>
      </c>
      <c r="K99" s="26" t="s">
        <v>157</v>
      </c>
      <c r="L99" s="28" t="e">
        <f>VLOOKUP(K99,#REF!,3,0)</f>
        <v>#REF!</v>
      </c>
      <c r="M99" s="25" t="e">
        <f t="shared" si="58"/>
        <v>#REF!</v>
      </c>
    </row>
    <row r="100" spans="2:13">
      <c r="B100" s="53" t="s">
        <v>158</v>
      </c>
      <c r="C100" s="20">
        <v>2614.9499999999998</v>
      </c>
      <c r="D100" s="134">
        <f t="shared" si="52"/>
        <v>-2.09</v>
      </c>
      <c r="E100" s="134">
        <f t="shared" si="53"/>
        <v>2612.8599999999997</v>
      </c>
      <c r="F100" s="70">
        <f t="shared" si="54"/>
        <v>76.67</v>
      </c>
      <c r="G100" s="8">
        <f t="shared" si="55"/>
        <v>2689.5299999999997</v>
      </c>
      <c r="H100" s="16">
        <f t="shared" si="56"/>
        <v>403.43</v>
      </c>
      <c r="I100" s="13"/>
      <c r="J100" s="23">
        <f t="shared" si="57"/>
        <v>2.8520621809212388E-2</v>
      </c>
      <c r="K100" s="26" t="s">
        <v>159</v>
      </c>
      <c r="L100" s="28" t="e">
        <f>VLOOKUP(K100,#REF!,3,0)</f>
        <v>#REF!</v>
      </c>
      <c r="M100" s="25" t="e">
        <f t="shared" si="58"/>
        <v>#REF!</v>
      </c>
    </row>
    <row r="101" spans="2:13">
      <c r="B101" s="53" t="s">
        <v>160</v>
      </c>
      <c r="C101" s="99"/>
      <c r="D101" s="100"/>
      <c r="E101" s="100"/>
      <c r="F101" s="100"/>
      <c r="G101" s="99"/>
      <c r="H101" s="121"/>
      <c r="I101" s="13"/>
      <c r="J101" s="23"/>
      <c r="K101" s="26"/>
      <c r="L101" s="28"/>
      <c r="M101" s="25"/>
    </row>
    <row r="102" spans="2:13">
      <c r="B102" s="84" t="s">
        <v>161</v>
      </c>
      <c r="C102" s="85"/>
      <c r="D102" s="136"/>
      <c r="E102" s="136"/>
      <c r="F102" s="85"/>
      <c r="G102" s="85"/>
      <c r="H102" s="86"/>
      <c r="J102" s="23"/>
      <c r="K102" s="25"/>
      <c r="L102" s="28"/>
      <c r="M102" s="25"/>
    </row>
    <row r="103" spans="2:13">
      <c r="B103" s="53" t="s">
        <v>162</v>
      </c>
      <c r="C103" s="20">
        <v>23.51</v>
      </c>
      <c r="D103" s="63">
        <v>0</v>
      </c>
      <c r="E103" s="134">
        <f t="shared" ref="E103:E105" si="59">C103+D103</f>
        <v>23.51</v>
      </c>
      <c r="F103" s="63">
        <v>0</v>
      </c>
      <c r="G103" s="8">
        <f t="shared" ref="G103:G105" si="60">E103+F103</f>
        <v>23.51</v>
      </c>
      <c r="H103" s="16">
        <f>ROUND(G103*$C$193,2)</f>
        <v>3.53</v>
      </c>
      <c r="J103" s="23">
        <f>(G103-C103)/C103</f>
        <v>0</v>
      </c>
      <c r="K103" s="25"/>
      <c r="L103" s="28" t="e">
        <f>VLOOKUP(K103,#REF!,3,0)</f>
        <v>#REF!</v>
      </c>
      <c r="M103" s="25" t="e">
        <f>IF(L103=C103,"YES","NO")</f>
        <v>#REF!</v>
      </c>
    </row>
    <row r="104" spans="2:13">
      <c r="B104" s="53" t="s">
        <v>163</v>
      </c>
      <c r="C104" s="20">
        <v>47.060000000000009</v>
      </c>
      <c r="D104" s="63">
        <v>0</v>
      </c>
      <c r="E104" s="134">
        <f t="shared" si="59"/>
        <v>47.060000000000009</v>
      </c>
      <c r="F104" s="63">
        <v>0</v>
      </c>
      <c r="G104" s="8">
        <f t="shared" si="60"/>
        <v>47.060000000000009</v>
      </c>
      <c r="H104" s="16">
        <f>ROUND(G104*$C$193,2)</f>
        <v>7.06</v>
      </c>
      <c r="J104" s="23">
        <f>(G104-C104)/C104</f>
        <v>0</v>
      </c>
      <c r="K104" s="25"/>
      <c r="L104" s="28" t="e">
        <f>VLOOKUP(K104,#REF!,3,0)</f>
        <v>#REF!</v>
      </c>
      <c r="M104" s="25" t="e">
        <f>IF(L104=C104,"YES","NO")</f>
        <v>#REF!</v>
      </c>
    </row>
    <row r="105" spans="2:13">
      <c r="B105" s="53" t="s">
        <v>164</v>
      </c>
      <c r="C105" s="20">
        <v>70.56</v>
      </c>
      <c r="D105" s="63">
        <v>0</v>
      </c>
      <c r="E105" s="134">
        <f t="shared" si="59"/>
        <v>70.56</v>
      </c>
      <c r="F105" s="63">
        <v>0</v>
      </c>
      <c r="G105" s="8">
        <f t="shared" si="60"/>
        <v>70.56</v>
      </c>
      <c r="H105" s="16">
        <f>ROUND(G105*$C$193,2)</f>
        <v>10.58</v>
      </c>
      <c r="J105" s="23">
        <f>(G105-C105)/C105</f>
        <v>0</v>
      </c>
      <c r="K105" s="25"/>
      <c r="L105" s="28" t="e">
        <f>VLOOKUP(K105,#REF!,3,0)</f>
        <v>#REF!</v>
      </c>
      <c r="M105" s="25" t="e">
        <f>IF(L105=C105,"YES","NO")</f>
        <v>#REF!</v>
      </c>
    </row>
    <row r="106" spans="2:13">
      <c r="B106" s="53"/>
      <c r="C106" s="20"/>
      <c r="D106" s="138"/>
      <c r="E106" s="138"/>
      <c r="F106" s="63"/>
      <c r="G106" s="8"/>
      <c r="H106" s="16"/>
      <c r="J106" s="23"/>
      <c r="K106" s="25"/>
      <c r="L106" s="28"/>
      <c r="M106" s="25"/>
    </row>
    <row r="107" spans="2:13">
      <c r="B107" s="53" t="s">
        <v>165</v>
      </c>
      <c r="C107" s="20">
        <v>28.229999999999997</v>
      </c>
      <c r="D107" s="63">
        <v>0</v>
      </c>
      <c r="E107" s="134">
        <f t="shared" ref="E107:E109" si="61">C107+D107</f>
        <v>28.229999999999997</v>
      </c>
      <c r="F107" s="63">
        <v>0</v>
      </c>
      <c r="G107" s="8">
        <f t="shared" ref="G107:G109" si="62">E107+F107</f>
        <v>28.229999999999997</v>
      </c>
      <c r="H107" s="16">
        <f>ROUND(G107*$C$193,2)</f>
        <v>4.2300000000000004</v>
      </c>
      <c r="J107" s="23">
        <f>(G107-C107)/C107</f>
        <v>0</v>
      </c>
      <c r="K107" s="25"/>
      <c r="L107" s="28" t="e">
        <f>VLOOKUP(K107,#REF!,3,0)</f>
        <v>#REF!</v>
      </c>
      <c r="M107" s="25" t="e">
        <f>IF(L107=C107,"YES","NO")</f>
        <v>#REF!</v>
      </c>
    </row>
    <row r="108" spans="2:13">
      <c r="B108" s="53" t="s">
        <v>166</v>
      </c>
      <c r="C108" s="20">
        <v>56.469999999999992</v>
      </c>
      <c r="D108" s="63">
        <v>0</v>
      </c>
      <c r="E108" s="134">
        <f t="shared" si="61"/>
        <v>56.469999999999992</v>
      </c>
      <c r="F108" s="63">
        <v>0</v>
      </c>
      <c r="G108" s="8">
        <f t="shared" si="62"/>
        <v>56.469999999999992</v>
      </c>
      <c r="H108" s="16">
        <f>ROUND(G108*$C$193,2)</f>
        <v>8.4700000000000006</v>
      </c>
      <c r="J108" s="23">
        <f>(G108-C108)/C108</f>
        <v>0</v>
      </c>
      <c r="K108" s="25"/>
      <c r="L108" s="28" t="e">
        <f>VLOOKUP(K108,#REF!,3,0)</f>
        <v>#REF!</v>
      </c>
      <c r="M108" s="25" t="e">
        <f>IF(L108=C108,"YES","NO")</f>
        <v>#REF!</v>
      </c>
    </row>
    <row r="109" spans="2:13">
      <c r="B109" s="53" t="s">
        <v>167</v>
      </c>
      <c r="C109" s="20">
        <v>84.69</v>
      </c>
      <c r="D109" s="63">
        <v>0</v>
      </c>
      <c r="E109" s="134">
        <f t="shared" si="61"/>
        <v>84.69</v>
      </c>
      <c r="F109" s="63">
        <v>0</v>
      </c>
      <c r="G109" s="8">
        <f t="shared" si="62"/>
        <v>84.69</v>
      </c>
      <c r="H109" s="16">
        <f>ROUND(G109*$C$193,2)</f>
        <v>12.7</v>
      </c>
      <c r="J109" s="23">
        <f>(G109-C109)/C109</f>
        <v>0</v>
      </c>
      <c r="K109" s="25"/>
      <c r="L109" s="28" t="e">
        <f>VLOOKUP(K109,#REF!,3,0)</f>
        <v>#REF!</v>
      </c>
      <c r="M109" s="25" t="e">
        <f>IF(L109=C109,"YES","NO")</f>
        <v>#REF!</v>
      </c>
    </row>
    <row r="110" spans="2:13">
      <c r="B110" s="53"/>
      <c r="C110" s="20"/>
      <c r="D110" s="138"/>
      <c r="E110" s="138"/>
      <c r="F110" s="63"/>
      <c r="G110" s="8"/>
      <c r="H110" s="16"/>
      <c r="J110" s="23"/>
      <c r="K110" s="25"/>
      <c r="L110" s="28"/>
      <c r="M110" s="25"/>
    </row>
    <row r="111" spans="2:13">
      <c r="B111" s="53" t="s">
        <v>168</v>
      </c>
      <c r="C111" s="20">
        <v>338.09</v>
      </c>
      <c r="D111" s="63">
        <v>0</v>
      </c>
      <c r="E111" s="134">
        <f t="shared" ref="E111:E113" si="63">C111+D111</f>
        <v>338.09</v>
      </c>
      <c r="F111" s="63">
        <v>0</v>
      </c>
      <c r="G111" s="8">
        <f t="shared" ref="G111:G113" si="64">E111+F111</f>
        <v>338.09</v>
      </c>
      <c r="H111" s="16">
        <f>ROUND(G111*$C$193,2)</f>
        <v>50.71</v>
      </c>
      <c r="J111" s="23">
        <f>(G111-C111)/C111</f>
        <v>0</v>
      </c>
      <c r="K111" s="25"/>
      <c r="L111" s="28" t="e">
        <f>VLOOKUP(K111,#REF!,3,0)</f>
        <v>#REF!</v>
      </c>
      <c r="M111" s="25" t="e">
        <f>IF(L111=C111,"YES","NO")</f>
        <v>#REF!</v>
      </c>
    </row>
    <row r="112" spans="2:13">
      <c r="B112" s="53" t="s">
        <v>169</v>
      </c>
      <c r="C112" s="20">
        <v>676.21999999999991</v>
      </c>
      <c r="D112" s="63">
        <v>0</v>
      </c>
      <c r="E112" s="134">
        <f t="shared" si="63"/>
        <v>676.21999999999991</v>
      </c>
      <c r="F112" s="63">
        <v>0</v>
      </c>
      <c r="G112" s="8">
        <f t="shared" si="64"/>
        <v>676.21999999999991</v>
      </c>
      <c r="H112" s="16">
        <f>ROUND(G112*$C$193,2)</f>
        <v>101.43</v>
      </c>
      <c r="J112" s="23">
        <f>(G112-C112)/C112</f>
        <v>0</v>
      </c>
      <c r="K112" s="25"/>
      <c r="L112" s="28" t="e">
        <f>VLOOKUP(K112,#REF!,3,0)</f>
        <v>#REF!</v>
      </c>
      <c r="M112" s="25" t="e">
        <f>IF(L112=C112,"YES","NO")</f>
        <v>#REF!</v>
      </c>
    </row>
    <row r="113" spans="2:13">
      <c r="B113" s="69" t="s">
        <v>170</v>
      </c>
      <c r="C113" s="20">
        <v>1014.3</v>
      </c>
      <c r="D113" s="63">
        <v>0</v>
      </c>
      <c r="E113" s="134">
        <f t="shared" si="63"/>
        <v>1014.3</v>
      </c>
      <c r="F113" s="63">
        <v>0</v>
      </c>
      <c r="G113" s="8">
        <f t="shared" si="64"/>
        <v>1014.3</v>
      </c>
      <c r="H113" s="16">
        <f>ROUND(G113*$C$193,2)</f>
        <v>152.15</v>
      </c>
      <c r="J113" s="23"/>
      <c r="K113" s="25"/>
      <c r="L113" s="28"/>
      <c r="M113" s="25"/>
    </row>
    <row r="114" spans="2:13">
      <c r="B114" s="53"/>
      <c r="C114" s="20"/>
      <c r="D114" s="138"/>
      <c r="E114" s="138"/>
      <c r="F114" s="63"/>
      <c r="G114" s="8"/>
      <c r="H114" s="16"/>
      <c r="J114" s="23"/>
      <c r="K114" s="25"/>
      <c r="L114" s="28"/>
      <c r="M114" s="25"/>
    </row>
    <row r="115" spans="2:13">
      <c r="B115" s="53" t="s">
        <v>171</v>
      </c>
      <c r="C115" s="20">
        <v>340.75999999999993</v>
      </c>
      <c r="D115" s="63">
        <v>0</v>
      </c>
      <c r="E115" s="134">
        <f t="shared" ref="E115:E117" si="65">C115+D115</f>
        <v>340.75999999999993</v>
      </c>
      <c r="F115" s="63">
        <v>0</v>
      </c>
      <c r="G115" s="8">
        <f t="shared" ref="G115:G117" si="66">E115+F115</f>
        <v>340.75999999999993</v>
      </c>
      <c r="H115" s="16">
        <f>ROUND(G115*$C$193,2)</f>
        <v>51.11</v>
      </c>
      <c r="J115" s="23">
        <f>(G115-C115)/C115</f>
        <v>0</v>
      </c>
      <c r="K115" s="25"/>
      <c r="L115" s="28" t="e">
        <f>VLOOKUP(K115,#REF!,3,0)</f>
        <v>#REF!</v>
      </c>
      <c r="M115" s="25" t="e">
        <f>IF(L115=C115,"YES","NO")</f>
        <v>#REF!</v>
      </c>
    </row>
    <row r="116" spans="2:13">
      <c r="B116" s="123" t="s">
        <v>172</v>
      </c>
      <c r="C116" s="20">
        <v>681.54000000000019</v>
      </c>
      <c r="D116" s="63">
        <v>0</v>
      </c>
      <c r="E116" s="134">
        <f t="shared" si="65"/>
        <v>681.54000000000019</v>
      </c>
      <c r="F116" s="63">
        <v>0</v>
      </c>
      <c r="G116" s="8">
        <f t="shared" si="66"/>
        <v>681.54000000000019</v>
      </c>
      <c r="H116" s="16">
        <f>ROUND(G116*$C$193,2)</f>
        <v>102.23</v>
      </c>
      <c r="J116" s="23">
        <f>(G116-C116)/C116</f>
        <v>0</v>
      </c>
      <c r="K116" s="25"/>
      <c r="L116" s="28" t="e">
        <f>VLOOKUP(K116,#REF!,3,0)</f>
        <v>#REF!</v>
      </c>
      <c r="M116" s="25" t="e">
        <f>IF(L116=C116,"YES","NO")</f>
        <v>#REF!</v>
      </c>
    </row>
    <row r="117" spans="2:13">
      <c r="B117" s="125" t="s">
        <v>173</v>
      </c>
      <c r="C117" s="20">
        <v>1022.2699999999999</v>
      </c>
      <c r="D117" s="63">
        <v>0</v>
      </c>
      <c r="E117" s="134">
        <f t="shared" si="65"/>
        <v>1022.2699999999999</v>
      </c>
      <c r="F117" s="63">
        <v>0</v>
      </c>
      <c r="G117" s="8">
        <f t="shared" si="66"/>
        <v>1022.2699999999999</v>
      </c>
      <c r="H117" s="16">
        <f>ROUND(G117*$C$193,2)</f>
        <v>153.34</v>
      </c>
      <c r="J117" s="23"/>
      <c r="K117" s="25"/>
      <c r="L117" s="28"/>
      <c r="M117" s="25"/>
    </row>
    <row r="118" spans="2:13">
      <c r="B118" s="84" t="s">
        <v>174</v>
      </c>
      <c r="C118" s="85"/>
      <c r="D118" s="136"/>
      <c r="E118" s="136"/>
      <c r="F118" s="85"/>
      <c r="G118" s="85"/>
      <c r="H118" s="86"/>
      <c r="J118" s="23"/>
      <c r="K118" s="25"/>
      <c r="L118" s="28"/>
      <c r="M118" s="25"/>
    </row>
    <row r="119" spans="2:13">
      <c r="B119" s="69" t="s">
        <v>175</v>
      </c>
      <c r="C119" s="20">
        <v>63.37</v>
      </c>
      <c r="D119" s="134">
        <f t="shared" ref="D119:D124" si="67">ROUND(C119*$H$7,2)</f>
        <v>-0.05</v>
      </c>
      <c r="E119" s="134">
        <f t="shared" ref="E119:E124" si="68">C119+D119</f>
        <v>63.32</v>
      </c>
      <c r="F119" s="70">
        <f t="shared" ref="F119:F124" si="69">ROUND(C119*$H$8,2)</f>
        <v>1.86</v>
      </c>
      <c r="G119" s="8">
        <f t="shared" ref="G119:G124" si="70">E119+F119</f>
        <v>65.180000000000007</v>
      </c>
      <c r="H119" s="16">
        <f t="shared" ref="H119:H124" si="71">ROUND(G119*$C$193,2)</f>
        <v>9.7799999999999994</v>
      </c>
      <c r="J119" s="23">
        <f t="shared" ref="J119:J124" si="72">(G119-C119)/C119</f>
        <v>2.856241123560059E-2</v>
      </c>
      <c r="K119" s="25" t="s">
        <v>176</v>
      </c>
      <c r="L119" s="28" t="e">
        <f>VLOOKUP(K119,#REF!,3,0)</f>
        <v>#REF!</v>
      </c>
      <c r="M119" s="25" t="e">
        <f t="shared" ref="M119:M124" si="73">IF(L119=C119,"YES","NO")</f>
        <v>#REF!</v>
      </c>
    </row>
    <row r="120" spans="2:13">
      <c r="B120" s="69" t="s">
        <v>177</v>
      </c>
      <c r="C120" s="20">
        <v>70.2</v>
      </c>
      <c r="D120" s="134">
        <f t="shared" si="67"/>
        <v>-0.06</v>
      </c>
      <c r="E120" s="134">
        <f t="shared" si="68"/>
        <v>70.14</v>
      </c>
      <c r="F120" s="70">
        <f t="shared" si="69"/>
        <v>2.06</v>
      </c>
      <c r="G120" s="8">
        <f t="shared" si="70"/>
        <v>72.2</v>
      </c>
      <c r="H120" s="16">
        <f t="shared" si="71"/>
        <v>10.83</v>
      </c>
      <c r="J120" s="23">
        <f t="shared" si="72"/>
        <v>2.8490028490028491E-2</v>
      </c>
      <c r="K120" s="25" t="s">
        <v>178</v>
      </c>
      <c r="L120" s="28" t="e">
        <f>VLOOKUP(K120,#REF!,3,0)</f>
        <v>#REF!</v>
      </c>
      <c r="M120" s="25" t="e">
        <f t="shared" si="73"/>
        <v>#REF!</v>
      </c>
    </row>
    <row r="121" spans="2:13">
      <c r="B121" s="69" t="s">
        <v>179</v>
      </c>
      <c r="C121" s="20">
        <v>77.08</v>
      </c>
      <c r="D121" s="134">
        <f t="shared" si="67"/>
        <v>-0.06</v>
      </c>
      <c r="E121" s="134">
        <f t="shared" si="68"/>
        <v>77.02</v>
      </c>
      <c r="F121" s="70">
        <f t="shared" si="69"/>
        <v>2.2599999999999998</v>
      </c>
      <c r="G121" s="8">
        <f t="shared" si="70"/>
        <v>79.28</v>
      </c>
      <c r="H121" s="16">
        <f t="shared" si="71"/>
        <v>11.89</v>
      </c>
      <c r="J121" s="23">
        <f t="shared" si="72"/>
        <v>2.8541774779449958E-2</v>
      </c>
      <c r="K121" s="25" t="s">
        <v>180</v>
      </c>
      <c r="L121" s="28" t="e">
        <f>VLOOKUP(K121,#REF!,3,0)</f>
        <v>#REF!</v>
      </c>
      <c r="M121" s="25" t="e">
        <f t="shared" si="73"/>
        <v>#REF!</v>
      </c>
    </row>
    <row r="122" spans="2:13">
      <c r="B122" s="69" t="s">
        <v>181</v>
      </c>
      <c r="C122" s="20">
        <v>90.809999999999988</v>
      </c>
      <c r="D122" s="134">
        <f t="shared" si="67"/>
        <v>-7.0000000000000007E-2</v>
      </c>
      <c r="E122" s="134">
        <f t="shared" si="68"/>
        <v>90.74</v>
      </c>
      <c r="F122" s="70">
        <f t="shared" si="69"/>
        <v>2.66</v>
      </c>
      <c r="G122" s="8">
        <f t="shared" si="70"/>
        <v>93.399999999999991</v>
      </c>
      <c r="H122" s="16">
        <f t="shared" si="71"/>
        <v>14.01</v>
      </c>
      <c r="J122" s="23">
        <f t="shared" si="72"/>
        <v>2.8521087985904678E-2</v>
      </c>
      <c r="K122" s="25" t="s">
        <v>182</v>
      </c>
      <c r="L122" s="28" t="e">
        <f>VLOOKUP(K122,#REF!,3,0)</f>
        <v>#REF!</v>
      </c>
      <c r="M122" s="25" t="e">
        <f t="shared" si="73"/>
        <v>#REF!</v>
      </c>
    </row>
    <row r="123" spans="2:13">
      <c r="B123" s="69" t="s">
        <v>183</v>
      </c>
      <c r="C123" s="20">
        <v>104.55</v>
      </c>
      <c r="D123" s="134">
        <f t="shared" si="67"/>
        <v>-0.08</v>
      </c>
      <c r="E123" s="134">
        <f t="shared" si="68"/>
        <v>104.47</v>
      </c>
      <c r="F123" s="70">
        <f t="shared" si="69"/>
        <v>3.07</v>
      </c>
      <c r="G123" s="8">
        <f t="shared" si="70"/>
        <v>107.53999999999999</v>
      </c>
      <c r="H123" s="16">
        <f t="shared" si="71"/>
        <v>16.13</v>
      </c>
      <c r="J123" s="23">
        <f t="shared" si="72"/>
        <v>2.8598756575801004E-2</v>
      </c>
      <c r="K123" s="25" t="s">
        <v>184</v>
      </c>
      <c r="L123" s="28" t="e">
        <f>VLOOKUP(K123,#REF!,3,0)</f>
        <v>#REF!</v>
      </c>
      <c r="M123" s="25" t="e">
        <f t="shared" si="73"/>
        <v>#REF!</v>
      </c>
    </row>
    <row r="124" spans="2:13">
      <c r="B124" s="69" t="s">
        <v>185</v>
      </c>
      <c r="C124" s="20">
        <v>132.01</v>
      </c>
      <c r="D124" s="134">
        <f t="shared" si="67"/>
        <v>-0.11</v>
      </c>
      <c r="E124" s="134">
        <f t="shared" si="68"/>
        <v>131.89999999999998</v>
      </c>
      <c r="F124" s="70">
        <f t="shared" si="69"/>
        <v>3.87</v>
      </c>
      <c r="G124" s="8">
        <f t="shared" si="70"/>
        <v>135.76999999999998</v>
      </c>
      <c r="H124" s="16">
        <f t="shared" si="71"/>
        <v>20.37</v>
      </c>
      <c r="J124" s="23">
        <f t="shared" si="72"/>
        <v>2.8482690705249534E-2</v>
      </c>
      <c r="K124" s="25" t="s">
        <v>186</v>
      </c>
      <c r="L124" s="28" t="e">
        <f>VLOOKUP(K124,#REF!,3,0)</f>
        <v>#REF!</v>
      </c>
      <c r="M124" s="25" t="e">
        <f t="shared" si="73"/>
        <v>#REF!</v>
      </c>
    </row>
    <row r="125" spans="2:13">
      <c r="B125" s="84" t="s">
        <v>58</v>
      </c>
      <c r="C125" s="85"/>
      <c r="D125" s="136"/>
      <c r="E125" s="136"/>
      <c r="F125" s="85"/>
      <c r="G125" s="85"/>
      <c r="H125" s="86"/>
      <c r="J125" s="25"/>
      <c r="K125" s="25"/>
      <c r="L125" s="28"/>
      <c r="M125" s="25"/>
    </row>
    <row r="126" spans="2:13">
      <c r="B126" s="53" t="s">
        <v>187</v>
      </c>
      <c r="C126" s="15">
        <v>4.58</v>
      </c>
      <c r="D126" s="63" t="s">
        <v>60</v>
      </c>
      <c r="E126" s="63">
        <f t="shared" ref="E126:E138" si="74">C126</f>
        <v>4.58</v>
      </c>
      <c r="F126" s="63" t="s">
        <v>60</v>
      </c>
      <c r="G126" s="8">
        <f t="shared" ref="G126:G136" si="75">C126</f>
        <v>4.58</v>
      </c>
      <c r="H126" s="16">
        <f t="shared" ref="H126:H137" si="76">ROUND(G126*$C$193,2)</f>
        <v>0.69</v>
      </c>
      <c r="J126" s="23">
        <f>(G126-C126)/C126</f>
        <v>0</v>
      </c>
      <c r="K126" s="25"/>
      <c r="L126" s="28" t="e">
        <f>VLOOKUP(K126,#REF!,3,0)</f>
        <v>#REF!</v>
      </c>
      <c r="M126" s="25" t="e">
        <f>IF(L126=C126,"YES","NO")</f>
        <v>#REF!</v>
      </c>
    </row>
    <row r="127" spans="2:13">
      <c r="B127" s="54" t="s">
        <v>188</v>
      </c>
      <c r="C127" s="20">
        <v>82.389999999999986</v>
      </c>
      <c r="D127" s="63" t="s">
        <v>60</v>
      </c>
      <c r="E127" s="63">
        <f t="shared" si="74"/>
        <v>82.389999999999986</v>
      </c>
      <c r="F127" s="63" t="s">
        <v>60</v>
      </c>
      <c r="G127" s="8">
        <f t="shared" si="75"/>
        <v>82.389999999999986</v>
      </c>
      <c r="H127" s="16">
        <f t="shared" si="76"/>
        <v>12.36</v>
      </c>
      <c r="J127" s="23">
        <f>(G127-C127)/C127</f>
        <v>0</v>
      </c>
      <c r="K127" s="25"/>
      <c r="L127" s="28" t="e">
        <f>VLOOKUP(K127,#REF!,3,0)</f>
        <v>#REF!</v>
      </c>
      <c r="M127" s="25" t="e">
        <f>IF(L127=C127,"YES","NO")</f>
        <v>#REF!</v>
      </c>
    </row>
    <row r="128" spans="2:13">
      <c r="B128" s="54" t="s">
        <v>189</v>
      </c>
      <c r="C128" s="20">
        <v>24.720000000000006</v>
      </c>
      <c r="D128" s="63" t="s">
        <v>60</v>
      </c>
      <c r="E128" s="63">
        <f t="shared" si="74"/>
        <v>24.720000000000006</v>
      </c>
      <c r="F128" s="63" t="s">
        <v>60</v>
      </c>
      <c r="G128" s="8">
        <f t="shared" si="75"/>
        <v>24.720000000000006</v>
      </c>
      <c r="H128" s="16">
        <f t="shared" si="76"/>
        <v>3.71</v>
      </c>
      <c r="J128" s="23">
        <f>(G128-C128)/C128</f>
        <v>0</v>
      </c>
      <c r="K128" s="25"/>
      <c r="L128" s="28" t="e">
        <f>VLOOKUP(K128,#REF!,3,0)</f>
        <v>#REF!</v>
      </c>
      <c r="M128" s="25" t="e">
        <f>IF(L128=C128,"YES","NO")</f>
        <v>#REF!</v>
      </c>
    </row>
    <row r="129" spans="2:13">
      <c r="B129" s="53" t="s">
        <v>190</v>
      </c>
      <c r="C129" s="20">
        <v>4.9400000000000004</v>
      </c>
      <c r="D129" s="63" t="s">
        <v>60</v>
      </c>
      <c r="E129" s="63">
        <f t="shared" si="74"/>
        <v>4.9400000000000004</v>
      </c>
      <c r="F129" s="63" t="s">
        <v>60</v>
      </c>
      <c r="G129" s="8">
        <f t="shared" si="75"/>
        <v>4.9400000000000004</v>
      </c>
      <c r="H129" s="16">
        <f t="shared" si="76"/>
        <v>0.74</v>
      </c>
      <c r="J129" s="23">
        <f>(G129-C129)/C129</f>
        <v>0</v>
      </c>
      <c r="K129" s="25"/>
      <c r="L129" s="28" t="e">
        <f>VLOOKUP(K129,#REF!,3,0)</f>
        <v>#REF!</v>
      </c>
      <c r="M129" s="25" t="e">
        <f>IF(L129=C129,"YES","NO")</f>
        <v>#REF!</v>
      </c>
    </row>
    <row r="130" spans="2:13">
      <c r="B130" s="53" t="s">
        <v>191</v>
      </c>
      <c r="C130" s="20">
        <v>6.59</v>
      </c>
      <c r="D130" s="63" t="s">
        <v>60</v>
      </c>
      <c r="E130" s="63">
        <f t="shared" si="74"/>
        <v>6.59</v>
      </c>
      <c r="F130" s="63" t="s">
        <v>60</v>
      </c>
      <c r="G130" s="8">
        <f t="shared" si="75"/>
        <v>6.59</v>
      </c>
      <c r="H130" s="16">
        <f t="shared" si="76"/>
        <v>0.99</v>
      </c>
      <c r="J130" s="23">
        <f>(G130-C130)/C130</f>
        <v>0</v>
      </c>
      <c r="K130" s="25"/>
      <c r="L130" s="28" t="e">
        <f>VLOOKUP(K130,#REF!,3,0)</f>
        <v>#REF!</v>
      </c>
      <c r="M130" s="25" t="e">
        <f>IF(L130=C130,"YES","NO")</f>
        <v>#REF!</v>
      </c>
    </row>
    <row r="131" spans="2:13">
      <c r="B131" s="69" t="s">
        <v>192</v>
      </c>
      <c r="C131" s="111">
        <v>82.39</v>
      </c>
      <c r="D131" s="63" t="s">
        <v>60</v>
      </c>
      <c r="E131" s="63">
        <f t="shared" si="74"/>
        <v>82.39</v>
      </c>
      <c r="F131" s="63" t="s">
        <v>60</v>
      </c>
      <c r="G131" s="8">
        <f t="shared" si="75"/>
        <v>82.39</v>
      </c>
      <c r="H131" s="16">
        <f t="shared" ref="H131" si="77">ROUND(G131*$C$193,2)</f>
        <v>12.36</v>
      </c>
      <c r="J131" s="23"/>
      <c r="K131" s="25"/>
      <c r="L131" s="28"/>
      <c r="M131" s="25"/>
    </row>
    <row r="132" spans="2:13">
      <c r="B132" s="69" t="s">
        <v>193</v>
      </c>
      <c r="C132" s="20">
        <v>160.84</v>
      </c>
      <c r="D132" s="63" t="s">
        <v>60</v>
      </c>
      <c r="E132" s="63">
        <f t="shared" si="74"/>
        <v>160.84</v>
      </c>
      <c r="F132" s="63" t="s">
        <v>60</v>
      </c>
      <c r="G132" s="8">
        <f t="shared" si="75"/>
        <v>160.84</v>
      </c>
      <c r="H132" s="16">
        <f t="shared" si="76"/>
        <v>24.13</v>
      </c>
      <c r="J132" s="117">
        <f t="shared" ref="J132:J138" si="78">(G132-C132)/C132</f>
        <v>0</v>
      </c>
      <c r="K132" s="115"/>
      <c r="L132" s="116" t="e">
        <f>VLOOKUP(K132,#REF!,3,0)</f>
        <v>#REF!</v>
      </c>
      <c r="M132" s="115" t="e">
        <f t="shared" ref="M132:M138" si="79">IF(L132=C132,"YES","NO")</f>
        <v>#REF!</v>
      </c>
    </row>
    <row r="133" spans="2:13">
      <c r="B133" s="69" t="s">
        <v>194</v>
      </c>
      <c r="C133" s="20">
        <v>53.62</v>
      </c>
      <c r="D133" s="63" t="s">
        <v>60</v>
      </c>
      <c r="E133" s="63">
        <f t="shared" si="74"/>
        <v>53.62</v>
      </c>
      <c r="F133" s="63" t="s">
        <v>60</v>
      </c>
      <c r="G133" s="8">
        <f t="shared" si="75"/>
        <v>53.62</v>
      </c>
      <c r="H133" s="16">
        <f t="shared" si="76"/>
        <v>8.0399999999999991</v>
      </c>
      <c r="J133" s="117">
        <f t="shared" si="78"/>
        <v>0</v>
      </c>
      <c r="K133" s="115"/>
      <c r="L133" s="116" t="e">
        <f>VLOOKUP(K133,#REF!,3,0)</f>
        <v>#REF!</v>
      </c>
      <c r="M133" s="115" t="e">
        <f t="shared" si="79"/>
        <v>#REF!</v>
      </c>
    </row>
    <row r="134" spans="2:13">
      <c r="B134" s="69" t="s">
        <v>195</v>
      </c>
      <c r="C134" s="20">
        <v>143.19</v>
      </c>
      <c r="D134" s="63" t="s">
        <v>60</v>
      </c>
      <c r="E134" s="63">
        <f t="shared" si="74"/>
        <v>143.19</v>
      </c>
      <c r="F134" s="63" t="s">
        <v>60</v>
      </c>
      <c r="G134" s="8">
        <f t="shared" si="75"/>
        <v>143.19</v>
      </c>
      <c r="H134" s="16">
        <f t="shared" si="76"/>
        <v>21.48</v>
      </c>
      <c r="J134" s="117">
        <f t="shared" si="78"/>
        <v>0</v>
      </c>
      <c r="K134" s="115"/>
      <c r="L134" s="116" t="e">
        <f>VLOOKUP(K134,#REF!,3,0)</f>
        <v>#REF!</v>
      </c>
      <c r="M134" s="115" t="e">
        <f t="shared" si="79"/>
        <v>#REF!</v>
      </c>
    </row>
    <row r="135" spans="2:13">
      <c r="B135" s="120" t="s">
        <v>64</v>
      </c>
      <c r="C135" s="20">
        <v>64.13</v>
      </c>
      <c r="D135" s="63" t="s">
        <v>60</v>
      </c>
      <c r="E135" s="63">
        <f t="shared" si="74"/>
        <v>64.13</v>
      </c>
      <c r="F135" s="63" t="s">
        <v>60</v>
      </c>
      <c r="G135" s="8">
        <f t="shared" si="75"/>
        <v>64.13</v>
      </c>
      <c r="H135" s="16">
        <f t="shared" si="76"/>
        <v>9.6199999999999992</v>
      </c>
      <c r="J135" s="117">
        <f t="shared" si="78"/>
        <v>0</v>
      </c>
      <c r="K135" s="115"/>
      <c r="L135" s="116" t="e">
        <f>VLOOKUP(K135,#REF!,3,0)</f>
        <v>#REF!</v>
      </c>
      <c r="M135" s="115" t="e">
        <f t="shared" si="79"/>
        <v>#REF!</v>
      </c>
    </row>
    <row r="136" spans="2:13">
      <c r="B136" s="120" t="s">
        <v>65</v>
      </c>
      <c r="C136" s="20">
        <v>114.01</v>
      </c>
      <c r="D136" s="63" t="s">
        <v>60</v>
      </c>
      <c r="E136" s="63">
        <f t="shared" si="74"/>
        <v>114.01</v>
      </c>
      <c r="F136" s="63" t="s">
        <v>60</v>
      </c>
      <c r="G136" s="8">
        <f t="shared" si="75"/>
        <v>114.01</v>
      </c>
      <c r="H136" s="16">
        <f t="shared" si="76"/>
        <v>17.100000000000001</v>
      </c>
      <c r="J136" s="117">
        <f t="shared" si="78"/>
        <v>0</v>
      </c>
      <c r="K136" s="115"/>
      <c r="L136" s="116" t="e">
        <f>VLOOKUP(K136,#REF!,3,0)</f>
        <v>#REF!</v>
      </c>
      <c r="M136" s="115" t="e">
        <f t="shared" si="79"/>
        <v>#REF!</v>
      </c>
    </row>
    <row r="137" spans="2:13">
      <c r="B137" s="53" t="s">
        <v>196</v>
      </c>
      <c r="C137" s="20">
        <v>25</v>
      </c>
      <c r="D137" s="63" t="s">
        <v>60</v>
      </c>
      <c r="E137" s="63">
        <f t="shared" si="74"/>
        <v>25</v>
      </c>
      <c r="F137" s="63" t="s">
        <v>60</v>
      </c>
      <c r="G137" s="8">
        <v>25</v>
      </c>
      <c r="H137" s="16">
        <f t="shared" si="76"/>
        <v>3.75</v>
      </c>
      <c r="J137" s="117">
        <f t="shared" si="78"/>
        <v>0</v>
      </c>
      <c r="K137" s="115"/>
      <c r="L137" s="116" t="e">
        <f>VLOOKUP(K137,#REF!,3,0)</f>
        <v>#REF!</v>
      </c>
      <c r="M137" s="115" t="e">
        <f t="shared" si="79"/>
        <v>#REF!</v>
      </c>
    </row>
    <row r="138" spans="2:13" ht="45.75" thickBot="1">
      <c r="B138" s="55" t="s">
        <v>73</v>
      </c>
      <c r="C138" s="17" t="s">
        <v>74</v>
      </c>
      <c r="D138" s="66" t="s">
        <v>60</v>
      </c>
      <c r="E138" s="64" t="str">
        <f t="shared" si="74"/>
        <v>2.5% or minimum $5.00</v>
      </c>
      <c r="F138" s="66" t="s">
        <v>60</v>
      </c>
      <c r="G138" s="18" t="s">
        <v>74</v>
      </c>
      <c r="H138" s="19" t="s">
        <v>60</v>
      </c>
      <c r="J138" s="117" t="e">
        <f t="shared" si="78"/>
        <v>#VALUE!</v>
      </c>
      <c r="K138" s="115"/>
      <c r="L138" s="116" t="e">
        <f>VLOOKUP(K138,#REF!,3,0)</f>
        <v>#REF!</v>
      </c>
      <c r="M138" s="115" t="e">
        <f t="shared" si="79"/>
        <v>#REF!</v>
      </c>
    </row>
    <row r="139" spans="2:13" ht="15.75" thickBot="1">
      <c r="G139" s="106"/>
      <c r="H139" s="106"/>
      <c r="K139" s="14"/>
      <c r="L139" s="10"/>
      <c r="M139" s="9"/>
    </row>
    <row r="140" spans="2:13" ht="75">
      <c r="B140" s="87" t="s">
        <v>197</v>
      </c>
      <c r="C140" s="88" t="str">
        <f>C$11</f>
        <v>Current Monthly Rate</v>
      </c>
      <c r="D140" s="132" t="s">
        <v>11</v>
      </c>
      <c r="E140" s="154" t="s">
        <v>12</v>
      </c>
      <c r="F140" s="89" t="str">
        <f>F$11</f>
        <v>1/1/2023 Disposal Passthrough</v>
      </c>
      <c r="G140" s="95" t="str">
        <f>G$11</f>
        <v>New Total Monthly Rate (includes franchise charge)</v>
      </c>
      <c r="H140" s="104" t="str">
        <f>$H$11</f>
        <v>Estimated Franchise Charge</v>
      </c>
      <c r="J140" s="22" t="s">
        <v>16</v>
      </c>
      <c r="K140" s="22" t="s">
        <v>17</v>
      </c>
      <c r="L140" s="27" t="s">
        <v>18</v>
      </c>
      <c r="M140" s="22" t="s">
        <v>19</v>
      </c>
    </row>
    <row r="141" spans="2:13">
      <c r="B141" s="90" t="s">
        <v>20</v>
      </c>
      <c r="C141" s="91"/>
      <c r="D141" s="91"/>
      <c r="E141" s="91"/>
      <c r="F141" s="91"/>
      <c r="G141" s="91"/>
      <c r="H141" s="92"/>
      <c r="J141" s="115"/>
      <c r="K141" s="115"/>
      <c r="L141" s="116"/>
      <c r="M141" s="115"/>
    </row>
    <row r="142" spans="2:13">
      <c r="B142" s="53" t="s">
        <v>198</v>
      </c>
      <c r="C142" s="20">
        <v>291.89</v>
      </c>
      <c r="D142" s="134">
        <f t="shared" ref="D142:D146" si="80">ROUND(C142*$H$7,2)</f>
        <v>-0.23</v>
      </c>
      <c r="E142" s="134">
        <f t="shared" ref="E142:E146" si="81">C142+D142</f>
        <v>291.65999999999997</v>
      </c>
      <c r="F142" s="70">
        <f t="shared" ref="F142:F146" si="82">ROUND(C142*$H$8,2)</f>
        <v>8.56</v>
      </c>
      <c r="G142" s="8">
        <f t="shared" ref="G142:G146" si="83">E142+F142</f>
        <v>300.21999999999997</v>
      </c>
      <c r="H142" s="16">
        <f>ROUND(G142*$C$193,2)</f>
        <v>45.03</v>
      </c>
      <c r="J142" s="117">
        <f>(G142-C142)/C142</f>
        <v>2.853814793244025E-2</v>
      </c>
      <c r="K142" s="115" t="s">
        <v>199</v>
      </c>
      <c r="L142" s="116" t="e">
        <f>VLOOKUP(K142,#REF!,3,0)</f>
        <v>#REF!</v>
      </c>
      <c r="M142" s="115" t="e">
        <f>IF(L142=C142,"YES","NO")</f>
        <v>#REF!</v>
      </c>
    </row>
    <row r="143" spans="2:13">
      <c r="B143" s="53" t="s">
        <v>200</v>
      </c>
      <c r="C143" s="20">
        <v>552.82999999999993</v>
      </c>
      <c r="D143" s="134">
        <f t="shared" si="80"/>
        <v>-0.44</v>
      </c>
      <c r="E143" s="134">
        <f t="shared" si="81"/>
        <v>552.38999999999987</v>
      </c>
      <c r="F143" s="70">
        <f t="shared" si="82"/>
        <v>16.21</v>
      </c>
      <c r="G143" s="8">
        <f t="shared" si="83"/>
        <v>568.59999999999991</v>
      </c>
      <c r="H143" s="16">
        <f>ROUND(G143*$C$193,2)</f>
        <v>85.29</v>
      </c>
      <c r="J143" s="117">
        <f>(G143-C143)/C143</f>
        <v>2.8525948302371405E-2</v>
      </c>
      <c r="K143" s="115" t="s">
        <v>201</v>
      </c>
      <c r="L143" s="116" t="e">
        <f>VLOOKUP(K143,#REF!,3,0)</f>
        <v>#REF!</v>
      </c>
      <c r="M143" s="115" t="e">
        <f>IF(L143=C143,"YES","NO")</f>
        <v>#REF!</v>
      </c>
    </row>
    <row r="144" spans="2:13">
      <c r="B144" s="53" t="s">
        <v>202</v>
      </c>
      <c r="C144" s="20">
        <v>669.69</v>
      </c>
      <c r="D144" s="134">
        <f t="shared" si="80"/>
        <v>-0.54</v>
      </c>
      <c r="E144" s="134">
        <f t="shared" si="81"/>
        <v>669.15000000000009</v>
      </c>
      <c r="F144" s="70">
        <f t="shared" si="82"/>
        <v>19.64</v>
      </c>
      <c r="G144" s="8">
        <f t="shared" si="83"/>
        <v>688.79000000000008</v>
      </c>
      <c r="H144" s="16">
        <f>ROUND(G144*$C$193,2)</f>
        <v>103.32</v>
      </c>
      <c r="J144" s="117">
        <f>(G144-C144)/C144</f>
        <v>2.8520658812286312E-2</v>
      </c>
      <c r="K144" s="115" t="s">
        <v>203</v>
      </c>
      <c r="L144" s="116" t="e">
        <f>VLOOKUP(K144,#REF!,3,0)</f>
        <v>#REF!</v>
      </c>
      <c r="M144" s="115" t="e">
        <f>IF(L144=C144,"YES","NO")</f>
        <v>#REF!</v>
      </c>
    </row>
    <row r="145" spans="2:13">
      <c r="B145" s="53" t="s">
        <v>204</v>
      </c>
      <c r="C145" s="20">
        <v>769.10000000000025</v>
      </c>
      <c r="D145" s="134">
        <f t="shared" si="80"/>
        <v>-0.62</v>
      </c>
      <c r="E145" s="134">
        <f t="shared" si="81"/>
        <v>768.48000000000025</v>
      </c>
      <c r="F145" s="70">
        <f t="shared" si="82"/>
        <v>22.55</v>
      </c>
      <c r="G145" s="8">
        <f t="shared" si="83"/>
        <v>791.0300000000002</v>
      </c>
      <c r="H145" s="16">
        <f>ROUND(G145*$C$193,2)</f>
        <v>118.65</v>
      </c>
      <c r="J145" s="117">
        <f>(G145-C145)/C145</f>
        <v>2.8513847354050114E-2</v>
      </c>
      <c r="K145" s="115" t="s">
        <v>205</v>
      </c>
      <c r="L145" s="116" t="e">
        <f>VLOOKUP(K145,#REF!,3,0)</f>
        <v>#REF!</v>
      </c>
      <c r="M145" s="115" t="e">
        <f>IF(L145=C145,"YES","NO")</f>
        <v>#REF!</v>
      </c>
    </row>
    <row r="146" spans="2:13">
      <c r="B146" s="53" t="s">
        <v>206</v>
      </c>
      <c r="C146" s="20">
        <v>965.36</v>
      </c>
      <c r="D146" s="134">
        <f t="shared" si="80"/>
        <v>-0.77</v>
      </c>
      <c r="E146" s="134">
        <f t="shared" si="81"/>
        <v>964.59</v>
      </c>
      <c r="F146" s="70">
        <f t="shared" si="82"/>
        <v>28.31</v>
      </c>
      <c r="G146" s="8">
        <f t="shared" si="83"/>
        <v>992.9</v>
      </c>
      <c r="H146" s="16">
        <f>ROUND(G146*$C$193,2)</f>
        <v>148.94</v>
      </c>
      <c r="J146" s="117">
        <f>(G146-C146)/C146</f>
        <v>2.8528217452556522E-2</v>
      </c>
      <c r="K146" s="115" t="s">
        <v>207</v>
      </c>
      <c r="L146" s="116" t="e">
        <f>VLOOKUP(K146,#REF!,3,0)</f>
        <v>#REF!</v>
      </c>
      <c r="M146" s="115" t="e">
        <f>IF(L146=C146,"YES","NO")</f>
        <v>#REF!</v>
      </c>
    </row>
    <row r="147" spans="2:13">
      <c r="B147" s="90" t="s">
        <v>208</v>
      </c>
      <c r="C147" s="91"/>
      <c r="D147" s="135"/>
      <c r="E147" s="135"/>
      <c r="F147" s="91"/>
      <c r="G147" s="91"/>
      <c r="H147" s="92"/>
      <c r="J147" s="115"/>
      <c r="K147" s="115"/>
      <c r="L147" s="116"/>
      <c r="M147" s="115"/>
    </row>
    <row r="148" spans="2:13">
      <c r="B148" s="53" t="s">
        <v>198</v>
      </c>
      <c r="C148" s="20">
        <v>328.15000000000003</v>
      </c>
      <c r="D148" s="63">
        <v>0</v>
      </c>
      <c r="E148" s="134">
        <f t="shared" ref="E148:E152" si="84">C148+D148</f>
        <v>328.15000000000003</v>
      </c>
      <c r="F148" s="63">
        <v>0</v>
      </c>
      <c r="G148" s="8">
        <f t="shared" ref="G148:G152" si="85">E148+F148</f>
        <v>328.15000000000003</v>
      </c>
      <c r="H148" s="16">
        <f>ROUND(G148*$C$193,2)</f>
        <v>49.22</v>
      </c>
      <c r="J148" s="117">
        <f>(G148-C148)/C148</f>
        <v>0</v>
      </c>
      <c r="K148" s="115" t="s">
        <v>209</v>
      </c>
      <c r="L148" s="116" t="e">
        <f>VLOOKUP(K148,#REF!,3,0)</f>
        <v>#REF!</v>
      </c>
      <c r="M148" s="115" t="e">
        <f>IF(L148=C148,"YES","NO")</f>
        <v>#REF!</v>
      </c>
    </row>
    <row r="149" spans="2:13">
      <c r="B149" s="53" t="s">
        <v>200</v>
      </c>
      <c r="C149" s="20">
        <v>615.66000000000008</v>
      </c>
      <c r="D149" s="63">
        <v>0</v>
      </c>
      <c r="E149" s="134">
        <f t="shared" si="84"/>
        <v>615.66000000000008</v>
      </c>
      <c r="F149" s="63">
        <v>0</v>
      </c>
      <c r="G149" s="8">
        <f t="shared" si="85"/>
        <v>615.66000000000008</v>
      </c>
      <c r="H149" s="16">
        <f>ROUND(G149*$C$193,2)</f>
        <v>92.35</v>
      </c>
      <c r="J149" s="117">
        <f>(G149-C149)/C149</f>
        <v>0</v>
      </c>
      <c r="K149" s="115" t="s">
        <v>210</v>
      </c>
      <c r="L149" s="116" t="e">
        <f>VLOOKUP(K149,#REF!,3,0)</f>
        <v>#REF!</v>
      </c>
      <c r="M149" s="115" t="e">
        <f>IF(L149=C149,"YES","NO")</f>
        <v>#REF!</v>
      </c>
    </row>
    <row r="150" spans="2:13">
      <c r="B150" s="53" t="s">
        <v>202</v>
      </c>
      <c r="C150" s="20">
        <v>752.61999999999978</v>
      </c>
      <c r="D150" s="63">
        <v>0</v>
      </c>
      <c r="E150" s="134">
        <f t="shared" si="84"/>
        <v>752.61999999999978</v>
      </c>
      <c r="F150" s="63">
        <v>0</v>
      </c>
      <c r="G150" s="8">
        <f t="shared" si="85"/>
        <v>752.61999999999978</v>
      </c>
      <c r="H150" s="16">
        <f>ROUND(G150*$C$193,2)</f>
        <v>112.89</v>
      </c>
      <c r="J150" s="117">
        <f>(G150-C150)/C150</f>
        <v>0</v>
      </c>
      <c r="K150" s="115" t="s">
        <v>211</v>
      </c>
      <c r="L150" s="116" t="e">
        <f>VLOOKUP(K150,#REF!,3,0)</f>
        <v>#REF!</v>
      </c>
      <c r="M150" s="115" t="e">
        <f>IF(L150=C150,"YES","NO")</f>
        <v>#REF!</v>
      </c>
    </row>
    <row r="151" spans="2:13">
      <c r="B151" s="53" t="s">
        <v>204</v>
      </c>
      <c r="C151" s="20">
        <v>871.96</v>
      </c>
      <c r="D151" s="63">
        <v>0</v>
      </c>
      <c r="E151" s="134">
        <f t="shared" si="84"/>
        <v>871.96</v>
      </c>
      <c r="F151" s="63">
        <v>0</v>
      </c>
      <c r="G151" s="8">
        <f t="shared" si="85"/>
        <v>871.96</v>
      </c>
      <c r="H151" s="16">
        <f>ROUND(G151*$C$193,2)</f>
        <v>130.79</v>
      </c>
      <c r="J151" s="117">
        <f>(G151-C151)/C151</f>
        <v>0</v>
      </c>
      <c r="K151" s="115" t="s">
        <v>212</v>
      </c>
      <c r="L151" s="116" t="e">
        <f>VLOOKUP(K151,#REF!,3,0)</f>
        <v>#REF!</v>
      </c>
      <c r="M151" s="115" t="e">
        <f>IF(L151=C151,"YES","NO")</f>
        <v>#REF!</v>
      </c>
    </row>
    <row r="152" spans="2:13">
      <c r="B152" s="53" t="s">
        <v>206</v>
      </c>
      <c r="C152" s="20">
        <v>1108.06</v>
      </c>
      <c r="D152" s="63">
        <v>0</v>
      </c>
      <c r="E152" s="134">
        <f t="shared" si="84"/>
        <v>1108.06</v>
      </c>
      <c r="F152" s="63">
        <v>0</v>
      </c>
      <c r="G152" s="8">
        <f t="shared" si="85"/>
        <v>1108.06</v>
      </c>
      <c r="H152" s="16">
        <f>ROUND(G152*$C$193,2)</f>
        <v>166.21</v>
      </c>
      <c r="J152" s="117">
        <f>(G152-C152)/C152</f>
        <v>0</v>
      </c>
      <c r="K152" s="115" t="s">
        <v>213</v>
      </c>
      <c r="L152" s="116" t="e">
        <f>VLOOKUP(K152,#REF!,3,0)</f>
        <v>#REF!</v>
      </c>
      <c r="M152" s="115" t="e">
        <f>IF(L152=C152,"YES","NO")</f>
        <v>#REF!</v>
      </c>
    </row>
    <row r="153" spans="2:13">
      <c r="B153" s="90" t="s">
        <v>214</v>
      </c>
      <c r="C153" s="91"/>
      <c r="D153" s="135"/>
      <c r="E153" s="135"/>
      <c r="F153" s="91"/>
      <c r="G153" s="91"/>
      <c r="H153" s="92"/>
      <c r="J153" s="115"/>
      <c r="K153" s="115"/>
      <c r="L153" s="116"/>
      <c r="M153" s="115"/>
    </row>
    <row r="154" spans="2:13">
      <c r="B154" s="69" t="s">
        <v>198</v>
      </c>
      <c r="C154" s="20">
        <v>310.92999999999995</v>
      </c>
      <c r="D154" s="63">
        <v>0</v>
      </c>
      <c r="E154" s="134">
        <f t="shared" ref="E154:E158" si="86">C154+D154</f>
        <v>310.92999999999995</v>
      </c>
      <c r="F154" s="63">
        <v>0</v>
      </c>
      <c r="G154" s="8">
        <f t="shared" ref="G154:G158" si="87">E154+F154</f>
        <v>310.92999999999995</v>
      </c>
      <c r="H154" s="16">
        <f>ROUND(G154*$C$193,2)</f>
        <v>46.64</v>
      </c>
      <c r="J154" s="117">
        <f>(G154-C154)/C154</f>
        <v>0</v>
      </c>
      <c r="K154" s="115" t="s">
        <v>215</v>
      </c>
      <c r="L154" s="116" t="e">
        <f>VLOOKUP(K154,#REF!,3,0)</f>
        <v>#REF!</v>
      </c>
      <c r="M154" s="115" t="e">
        <f>IF(L154=C154,"YES","NO")</f>
        <v>#REF!</v>
      </c>
    </row>
    <row r="155" spans="2:13">
      <c r="B155" s="69" t="s">
        <v>200</v>
      </c>
      <c r="C155" s="20">
        <v>585.30999999999995</v>
      </c>
      <c r="D155" s="63">
        <v>0</v>
      </c>
      <c r="E155" s="134">
        <f t="shared" si="86"/>
        <v>585.30999999999995</v>
      </c>
      <c r="F155" s="63">
        <v>0</v>
      </c>
      <c r="G155" s="8">
        <f t="shared" si="87"/>
        <v>585.30999999999995</v>
      </c>
      <c r="H155" s="16">
        <f>ROUND(G155*$C$193,2)</f>
        <v>87.8</v>
      </c>
      <c r="J155" s="117">
        <f>(G155-C155)/C155</f>
        <v>0</v>
      </c>
      <c r="K155" s="115" t="s">
        <v>216</v>
      </c>
      <c r="L155" s="116" t="e">
        <f>VLOOKUP(K155,#REF!,3,0)</f>
        <v>#REF!</v>
      </c>
      <c r="M155" s="115" t="e">
        <f>IF(L155=C155,"YES","NO")</f>
        <v>#REF!</v>
      </c>
    </row>
    <row r="156" spans="2:13">
      <c r="B156" s="69" t="s">
        <v>202</v>
      </c>
      <c r="C156" s="20">
        <v>713.23000000000013</v>
      </c>
      <c r="D156" s="63">
        <v>0</v>
      </c>
      <c r="E156" s="134">
        <f t="shared" si="86"/>
        <v>713.23000000000013</v>
      </c>
      <c r="F156" s="63">
        <v>0</v>
      </c>
      <c r="G156" s="8">
        <f t="shared" si="87"/>
        <v>713.23000000000013</v>
      </c>
      <c r="H156" s="16">
        <f>ROUND(G156*$C$193,2)</f>
        <v>106.98</v>
      </c>
      <c r="J156" s="117">
        <f>(G156-C156)/C156</f>
        <v>0</v>
      </c>
      <c r="K156" s="115" t="s">
        <v>217</v>
      </c>
      <c r="L156" s="116" t="e">
        <f>VLOOKUP(K156,#REF!,3,0)</f>
        <v>#REF!</v>
      </c>
      <c r="M156" s="115" t="e">
        <f>IF(L156=C156,"YES","NO")</f>
        <v>#REF!</v>
      </c>
    </row>
    <row r="157" spans="2:13">
      <c r="B157" s="69" t="s">
        <v>204</v>
      </c>
      <c r="C157" s="20">
        <v>823.73</v>
      </c>
      <c r="D157" s="63">
        <v>0</v>
      </c>
      <c r="E157" s="134">
        <f t="shared" si="86"/>
        <v>823.73</v>
      </c>
      <c r="F157" s="63">
        <v>0</v>
      </c>
      <c r="G157" s="8">
        <f t="shared" si="87"/>
        <v>823.73</v>
      </c>
      <c r="H157" s="16">
        <f>ROUND(G157*$C$193,2)</f>
        <v>123.56</v>
      </c>
      <c r="J157" s="117">
        <f>(G157-C157)/C157</f>
        <v>0</v>
      </c>
      <c r="K157" s="115" t="s">
        <v>218</v>
      </c>
      <c r="L157" s="116" t="e">
        <f>VLOOKUP(K157,#REF!,3,0)</f>
        <v>#REF!</v>
      </c>
      <c r="M157" s="115" t="e">
        <f>IF(L157=C157,"YES","NO")</f>
        <v>#REF!</v>
      </c>
    </row>
    <row r="158" spans="2:13">
      <c r="B158" s="69" t="s">
        <v>206</v>
      </c>
      <c r="C158" s="20">
        <v>1042.2400000000002</v>
      </c>
      <c r="D158" s="63">
        <v>0</v>
      </c>
      <c r="E158" s="134">
        <f t="shared" si="86"/>
        <v>1042.2400000000002</v>
      </c>
      <c r="F158" s="63">
        <v>0</v>
      </c>
      <c r="G158" s="8">
        <f t="shared" si="87"/>
        <v>1042.2400000000002</v>
      </c>
      <c r="H158" s="16">
        <f>ROUND(G158*$C$193,2)</f>
        <v>156.34</v>
      </c>
      <c r="J158" s="117">
        <f>(G158-C158)/C158</f>
        <v>0</v>
      </c>
      <c r="K158" s="115" t="s">
        <v>219</v>
      </c>
      <c r="L158" s="116" t="e">
        <f>VLOOKUP(K158,#REF!,3,0)</f>
        <v>#REF!</v>
      </c>
      <c r="M158" s="115" t="e">
        <f>IF(L158=C158,"YES","NO")</f>
        <v>#REF!</v>
      </c>
    </row>
    <row r="159" spans="2:13">
      <c r="B159" s="90" t="s">
        <v>220</v>
      </c>
      <c r="C159" s="91"/>
      <c r="D159" s="135"/>
      <c r="E159" s="135"/>
      <c r="F159" s="91"/>
      <c r="G159" s="91"/>
      <c r="H159" s="92"/>
      <c r="J159" s="115"/>
      <c r="K159" s="115"/>
      <c r="L159" s="116"/>
      <c r="M159" s="115"/>
    </row>
    <row r="160" spans="2:13">
      <c r="B160" s="69" t="s">
        <v>198</v>
      </c>
      <c r="C160" s="20">
        <v>326.01999999999987</v>
      </c>
      <c r="D160" s="63">
        <v>0</v>
      </c>
      <c r="E160" s="134">
        <f t="shared" ref="E160:E164" si="88">C160+D160</f>
        <v>326.01999999999987</v>
      </c>
      <c r="F160" s="63">
        <v>0</v>
      </c>
      <c r="G160" s="8">
        <f t="shared" ref="G160:G164" si="89">E160+F160</f>
        <v>326.01999999999987</v>
      </c>
      <c r="H160" s="16">
        <f>ROUND(G160*$C$193,2)</f>
        <v>48.9</v>
      </c>
      <c r="J160" s="117">
        <f>(G160-C160)/C160</f>
        <v>0</v>
      </c>
      <c r="K160" s="115"/>
      <c r="L160" s="116" t="e">
        <f>VLOOKUP(K160,#REF!,3,0)</f>
        <v>#REF!</v>
      </c>
      <c r="M160" s="115" t="e">
        <f>IF(L160=C160,"YES","NO")</f>
        <v>#REF!</v>
      </c>
    </row>
    <row r="161" spans="2:13">
      <c r="B161" s="69" t="s">
        <v>200</v>
      </c>
      <c r="C161" s="20">
        <v>613.68999999999983</v>
      </c>
      <c r="D161" s="63">
        <v>0</v>
      </c>
      <c r="E161" s="134">
        <f t="shared" si="88"/>
        <v>613.68999999999983</v>
      </c>
      <c r="F161" s="63">
        <v>0</v>
      </c>
      <c r="G161" s="8">
        <f t="shared" si="89"/>
        <v>613.68999999999983</v>
      </c>
      <c r="H161" s="16">
        <f>ROUND(G161*$C$193,2)</f>
        <v>92.05</v>
      </c>
      <c r="J161" s="117">
        <f>(G161-C161)/C161</f>
        <v>0</v>
      </c>
      <c r="K161" s="115"/>
      <c r="L161" s="116" t="e">
        <f>VLOOKUP(K161,#REF!,3,0)</f>
        <v>#REF!</v>
      </c>
      <c r="M161" s="115" t="e">
        <f>IF(L161=C161,"YES","NO")</f>
        <v>#REF!</v>
      </c>
    </row>
    <row r="162" spans="2:13">
      <c r="B162" s="69" t="s">
        <v>202</v>
      </c>
      <c r="C162" s="20">
        <v>747.83000000000015</v>
      </c>
      <c r="D162" s="63">
        <v>0</v>
      </c>
      <c r="E162" s="134">
        <f t="shared" si="88"/>
        <v>747.83000000000015</v>
      </c>
      <c r="F162" s="63">
        <v>0</v>
      </c>
      <c r="G162" s="8">
        <f t="shared" si="89"/>
        <v>747.83000000000015</v>
      </c>
      <c r="H162" s="16">
        <f>ROUND(G162*$C$193,2)</f>
        <v>112.17</v>
      </c>
      <c r="J162" s="117">
        <f>(G162-C162)/C162</f>
        <v>0</v>
      </c>
      <c r="K162" s="115"/>
      <c r="L162" s="116" t="e">
        <f>VLOOKUP(K162,#REF!,3,0)</f>
        <v>#REF!</v>
      </c>
      <c r="M162" s="115" t="e">
        <f>IF(L162=C162,"YES","NO")</f>
        <v>#REF!</v>
      </c>
    </row>
    <row r="163" spans="2:13">
      <c r="B163" s="69" t="s">
        <v>204</v>
      </c>
      <c r="C163" s="20">
        <v>863.71</v>
      </c>
      <c r="D163" s="63">
        <v>0</v>
      </c>
      <c r="E163" s="134">
        <f t="shared" si="88"/>
        <v>863.71</v>
      </c>
      <c r="F163" s="63">
        <v>0</v>
      </c>
      <c r="G163" s="8">
        <f t="shared" si="89"/>
        <v>863.71</v>
      </c>
      <c r="H163" s="16">
        <f>ROUND(G163*$C$193,2)</f>
        <v>129.56</v>
      </c>
      <c r="J163" s="117">
        <f>(G163-C163)/C163</f>
        <v>0</v>
      </c>
      <c r="K163" s="115"/>
      <c r="L163" s="116" t="e">
        <f>VLOOKUP(K163,#REF!,3,0)</f>
        <v>#REF!</v>
      </c>
      <c r="M163" s="115" t="e">
        <f>IF(L163=C163,"YES","NO")</f>
        <v>#REF!</v>
      </c>
    </row>
    <row r="164" spans="2:13">
      <c r="B164" s="69" t="s">
        <v>206</v>
      </c>
      <c r="C164" s="20">
        <v>1092.8</v>
      </c>
      <c r="D164" s="63">
        <v>0</v>
      </c>
      <c r="E164" s="134">
        <f t="shared" si="88"/>
        <v>1092.8</v>
      </c>
      <c r="F164" s="63">
        <v>0</v>
      </c>
      <c r="G164" s="8">
        <f t="shared" si="89"/>
        <v>1092.8</v>
      </c>
      <c r="H164" s="16">
        <f>ROUND(G164*$C$193,2)</f>
        <v>163.92</v>
      </c>
      <c r="J164" s="117">
        <f>(G164-C164)/C164</f>
        <v>0</v>
      </c>
      <c r="K164" s="115"/>
      <c r="L164" s="116" t="e">
        <f>VLOOKUP(K164,#REF!,3,0)</f>
        <v>#REF!</v>
      </c>
      <c r="M164" s="115" t="e">
        <f>IF(L164=C164,"YES","NO")</f>
        <v>#REF!</v>
      </c>
    </row>
    <row r="165" spans="2:13">
      <c r="B165" s="90" t="s">
        <v>221</v>
      </c>
      <c r="C165" s="91"/>
      <c r="D165" s="135"/>
      <c r="E165" s="135"/>
      <c r="F165" s="91"/>
      <c r="G165" s="91"/>
      <c r="H165" s="92"/>
      <c r="J165" s="115"/>
      <c r="K165" s="115"/>
      <c r="L165" s="116"/>
      <c r="M165" s="115"/>
    </row>
    <row r="166" spans="2:13">
      <c r="B166" s="53" t="s">
        <v>198</v>
      </c>
      <c r="C166" s="20">
        <v>180.61999999999995</v>
      </c>
      <c r="D166" s="63">
        <v>0</v>
      </c>
      <c r="E166" s="134">
        <f t="shared" ref="E166:E170" si="90">C166+D166</f>
        <v>180.61999999999995</v>
      </c>
      <c r="F166" s="56">
        <v>0</v>
      </c>
      <c r="G166" s="8">
        <f t="shared" ref="G166:G170" si="91">E166+F166</f>
        <v>180.61999999999995</v>
      </c>
      <c r="H166" s="16">
        <f>ROUND(G166*$C$193,2)</f>
        <v>27.09</v>
      </c>
      <c r="J166" s="117">
        <f>(G166-C166)/C166</f>
        <v>0</v>
      </c>
      <c r="K166" s="115" t="s">
        <v>222</v>
      </c>
      <c r="L166" s="116" t="e">
        <f>VLOOKUP(K166,#REF!,3,0)</f>
        <v>#REF!</v>
      </c>
      <c r="M166" s="115" t="e">
        <f>IF(L166=C166,"YES","NO")</f>
        <v>#REF!</v>
      </c>
    </row>
    <row r="167" spans="2:13">
      <c r="B167" s="53" t="s">
        <v>200</v>
      </c>
      <c r="C167" s="20">
        <v>361.3</v>
      </c>
      <c r="D167" s="63">
        <v>0</v>
      </c>
      <c r="E167" s="134">
        <f t="shared" si="90"/>
        <v>361.3</v>
      </c>
      <c r="F167" s="56">
        <v>0</v>
      </c>
      <c r="G167" s="8">
        <f t="shared" si="91"/>
        <v>361.3</v>
      </c>
      <c r="H167" s="16">
        <f>ROUND(G167*$C$193,2)</f>
        <v>54.2</v>
      </c>
      <c r="J167" s="117">
        <f>(G167-C167)/C167</f>
        <v>0</v>
      </c>
      <c r="K167" s="115" t="s">
        <v>223</v>
      </c>
      <c r="L167" s="116" t="e">
        <f>VLOOKUP(K167,#REF!,3,0)</f>
        <v>#REF!</v>
      </c>
      <c r="M167" s="115" t="e">
        <f>IF(L167=C167,"YES","NO")</f>
        <v>#REF!</v>
      </c>
    </row>
    <row r="168" spans="2:13">
      <c r="B168" s="53" t="s">
        <v>202</v>
      </c>
      <c r="C168" s="20">
        <v>415.34</v>
      </c>
      <c r="D168" s="63">
        <v>0</v>
      </c>
      <c r="E168" s="134">
        <f t="shared" si="90"/>
        <v>415.34</v>
      </c>
      <c r="F168" s="56">
        <v>0</v>
      </c>
      <c r="G168" s="8">
        <f t="shared" si="91"/>
        <v>415.34</v>
      </c>
      <c r="H168" s="16">
        <f>ROUND(G168*$C$193,2)</f>
        <v>62.3</v>
      </c>
      <c r="J168" s="117">
        <f>(G168-C168)/C168</f>
        <v>0</v>
      </c>
      <c r="K168" s="115" t="s">
        <v>224</v>
      </c>
      <c r="L168" s="116" t="e">
        <f>VLOOKUP(K168,#REF!,3,0)</f>
        <v>#REF!</v>
      </c>
      <c r="M168" s="115" t="e">
        <f>IF(L168=C168,"YES","NO")</f>
        <v>#REF!</v>
      </c>
    </row>
    <row r="169" spans="2:13">
      <c r="B169" s="53" t="s">
        <v>204</v>
      </c>
      <c r="C169" s="20">
        <v>452.24</v>
      </c>
      <c r="D169" s="63">
        <v>0</v>
      </c>
      <c r="E169" s="134">
        <f t="shared" si="90"/>
        <v>452.24</v>
      </c>
      <c r="F169" s="56">
        <v>0</v>
      </c>
      <c r="G169" s="8">
        <f t="shared" si="91"/>
        <v>452.24</v>
      </c>
      <c r="H169" s="16">
        <f>ROUND(G169*$C$193,2)</f>
        <v>67.84</v>
      </c>
      <c r="J169" s="117">
        <f>(G169-C169)/C169</f>
        <v>0</v>
      </c>
      <c r="K169" s="115" t="s">
        <v>225</v>
      </c>
      <c r="L169" s="116" t="e">
        <f>VLOOKUP(K169,#REF!,3,0)</f>
        <v>#REF!</v>
      </c>
      <c r="M169" s="115" t="e">
        <f>IF(L169=C169,"YES","NO")</f>
        <v>#REF!</v>
      </c>
    </row>
    <row r="170" spans="2:13">
      <c r="B170" s="53" t="s">
        <v>206</v>
      </c>
      <c r="C170" s="20">
        <v>523.52</v>
      </c>
      <c r="D170" s="63">
        <v>0</v>
      </c>
      <c r="E170" s="134">
        <f t="shared" si="90"/>
        <v>523.52</v>
      </c>
      <c r="F170" s="56">
        <v>0</v>
      </c>
      <c r="G170" s="8">
        <f t="shared" si="91"/>
        <v>523.52</v>
      </c>
      <c r="H170" s="16">
        <f>ROUND(G170*$C$193,2)</f>
        <v>78.53</v>
      </c>
      <c r="J170" s="117">
        <f>(G170-C170)/C170</f>
        <v>0</v>
      </c>
      <c r="K170" s="115" t="s">
        <v>226</v>
      </c>
      <c r="L170" s="116" t="e">
        <f>VLOOKUP(K170,#REF!,3,0)</f>
        <v>#REF!</v>
      </c>
      <c r="M170" s="115" t="e">
        <f>IF(L170=C170,"YES","NO")</f>
        <v>#REF!</v>
      </c>
    </row>
    <row r="171" spans="2:13">
      <c r="B171" s="90" t="s">
        <v>227</v>
      </c>
      <c r="C171" s="91"/>
      <c r="D171" s="135"/>
      <c r="E171" s="135"/>
      <c r="F171" s="91"/>
      <c r="G171" s="91"/>
      <c r="H171" s="92"/>
      <c r="J171" s="117"/>
      <c r="K171" s="115"/>
      <c r="L171" s="116"/>
      <c r="M171" s="115"/>
    </row>
    <row r="172" spans="2:13">
      <c r="B172" s="69" t="s">
        <v>228</v>
      </c>
      <c r="C172" s="111">
        <v>489.8549999999999</v>
      </c>
      <c r="D172" s="134">
        <f t="shared" ref="D172:D174" si="92">ROUND(C172*$H$7,2)</f>
        <v>-0.39</v>
      </c>
      <c r="E172" s="134">
        <f t="shared" ref="E172:E174" si="93">C172+D172</f>
        <v>489.46499999999992</v>
      </c>
      <c r="F172" s="70">
        <f t="shared" ref="F172:F174" si="94">ROUND(C172*$H$8,2)</f>
        <v>14.36</v>
      </c>
      <c r="G172" s="8">
        <f t="shared" ref="G172:G174" si="95">E172+F172</f>
        <v>503.82499999999993</v>
      </c>
      <c r="H172" s="114">
        <f>ROUND(G172*$C$193,2)</f>
        <v>75.569999999999993</v>
      </c>
      <c r="J172" s="117">
        <f>(G172-C172)/C172</f>
        <v>2.8518643271988713E-2</v>
      </c>
      <c r="K172" s="115" t="s">
        <v>229</v>
      </c>
      <c r="L172" s="116" t="e">
        <f>VLOOKUP(K172,#REF!,3,0)</f>
        <v>#REF!</v>
      </c>
      <c r="M172" s="115" t="e">
        <f>IF(L172=C172,"YES","NO")</f>
        <v>#REF!</v>
      </c>
    </row>
    <row r="173" spans="2:13">
      <c r="B173" s="53" t="s">
        <v>230</v>
      </c>
      <c r="C173" s="111">
        <v>534.79000000000008</v>
      </c>
      <c r="D173" s="134">
        <f t="shared" si="92"/>
        <v>-0.43</v>
      </c>
      <c r="E173" s="134">
        <f t="shared" si="93"/>
        <v>534.36000000000013</v>
      </c>
      <c r="F173" s="70">
        <f t="shared" si="94"/>
        <v>15.68</v>
      </c>
      <c r="G173" s="8">
        <f t="shared" si="95"/>
        <v>550.04000000000008</v>
      </c>
      <c r="H173" s="114">
        <f>ROUND(G173*$C$193,2)</f>
        <v>82.51</v>
      </c>
      <c r="J173" s="117">
        <f>(G173-C173)/C173</f>
        <v>2.8515866040875852E-2</v>
      </c>
      <c r="K173" s="115" t="s">
        <v>231</v>
      </c>
      <c r="L173" s="116" t="e">
        <f>VLOOKUP(K173,#REF!,3,0)</f>
        <v>#REF!</v>
      </c>
      <c r="M173" s="115" t="e">
        <f>IF(L173=C173,"YES","NO")</f>
        <v>#REF!</v>
      </c>
    </row>
    <row r="174" spans="2:13">
      <c r="B174" s="53" t="s">
        <v>232</v>
      </c>
      <c r="C174" s="20">
        <v>624.59999999999991</v>
      </c>
      <c r="D174" s="134">
        <f t="shared" si="92"/>
        <v>-0.5</v>
      </c>
      <c r="E174" s="134">
        <f t="shared" si="93"/>
        <v>624.09999999999991</v>
      </c>
      <c r="F174" s="70">
        <f t="shared" si="94"/>
        <v>18.309999999999999</v>
      </c>
      <c r="G174" s="8">
        <f t="shared" si="95"/>
        <v>642.40999999999985</v>
      </c>
      <c r="H174" s="16">
        <f>ROUND(G174*$C$193,2)</f>
        <v>96.36</v>
      </c>
      <c r="J174" s="117">
        <f>(G174-C174)/C174</f>
        <v>2.8514249119436355E-2</v>
      </c>
      <c r="K174" s="115" t="s">
        <v>233</v>
      </c>
      <c r="L174" s="116" t="e">
        <f>VLOOKUP(K174,#REF!,3,0)</f>
        <v>#REF!</v>
      </c>
      <c r="M174" s="115" t="e">
        <f>IF(L174=C174,"YES","NO")</f>
        <v>#REF!</v>
      </c>
    </row>
    <row r="175" spans="2:13">
      <c r="B175" s="69" t="s">
        <v>234</v>
      </c>
      <c r="C175" s="99"/>
      <c r="D175" s="100"/>
      <c r="E175" s="100"/>
      <c r="F175" s="100"/>
      <c r="G175" s="99"/>
      <c r="H175" s="121"/>
      <c r="J175" s="117"/>
      <c r="K175" s="115"/>
      <c r="L175" s="116"/>
      <c r="M175" s="115"/>
    </row>
    <row r="176" spans="2:13">
      <c r="B176" s="90" t="s">
        <v>235</v>
      </c>
      <c r="C176" s="91"/>
      <c r="D176" s="135"/>
      <c r="E176" s="135"/>
      <c r="F176" s="91"/>
      <c r="G176" s="91"/>
      <c r="H176" s="92"/>
      <c r="J176" s="115"/>
      <c r="K176" s="115"/>
      <c r="L176" s="116"/>
      <c r="M176" s="115"/>
    </row>
    <row r="177" spans="2:13">
      <c r="B177" s="53" t="s">
        <v>236</v>
      </c>
      <c r="C177" s="20">
        <v>66.400000000000006</v>
      </c>
      <c r="D177" s="63" t="s">
        <v>60</v>
      </c>
      <c r="E177" s="63">
        <f t="shared" ref="E177:E181" si="96">C177</f>
        <v>66.400000000000006</v>
      </c>
      <c r="F177" s="8" t="s">
        <v>60</v>
      </c>
      <c r="G177" s="8">
        <f>ROUND('Disposal Rate History'!C18/(1-$C$193),2)</f>
        <v>71.84</v>
      </c>
      <c r="H177" s="16">
        <f>ROUND(G177*$C$193,2)</f>
        <v>10.78</v>
      </c>
      <c r="J177" s="117">
        <f>(G177-C177)/C177</f>
        <v>8.1927710843373455E-2</v>
      </c>
      <c r="K177" s="115"/>
      <c r="L177" s="116" t="e">
        <f>VLOOKUP(K177,#REF!,3,0)</f>
        <v>#REF!</v>
      </c>
      <c r="M177" s="115" t="e">
        <f>IF(L177=C177,"YES","NO")</f>
        <v>#REF!</v>
      </c>
    </row>
    <row r="178" spans="2:13">
      <c r="B178" s="53" t="s">
        <v>237</v>
      </c>
      <c r="C178" s="20">
        <v>102.35</v>
      </c>
      <c r="D178" s="63" t="s">
        <v>60</v>
      </c>
      <c r="E178" s="63">
        <f t="shared" si="96"/>
        <v>102.35</v>
      </c>
      <c r="F178" s="8" t="s">
        <v>60</v>
      </c>
      <c r="G178" s="8">
        <f>C178</f>
        <v>102.35</v>
      </c>
      <c r="H178" s="16">
        <f>ROUND(G178*$C$193,2)</f>
        <v>15.35</v>
      </c>
      <c r="J178" s="117">
        <f>(G178-C178)/C178</f>
        <v>0</v>
      </c>
      <c r="K178" s="115"/>
      <c r="L178" s="116" t="e">
        <f>VLOOKUP(K178,#REF!,3,0)</f>
        <v>#REF!</v>
      </c>
      <c r="M178" s="115" t="e">
        <f>IF(L178=C178,"YES","NO")</f>
        <v>#REF!</v>
      </c>
    </row>
    <row r="179" spans="2:13">
      <c r="B179" s="69" t="s">
        <v>238</v>
      </c>
      <c r="C179" s="20">
        <v>91.76</v>
      </c>
      <c r="D179" s="63" t="s">
        <v>60</v>
      </c>
      <c r="E179" s="63">
        <f t="shared" si="96"/>
        <v>91.76</v>
      </c>
      <c r="F179" s="8" t="s">
        <v>60</v>
      </c>
      <c r="G179" s="8">
        <f t="shared" ref="G179:G180" si="97">C179</f>
        <v>91.76</v>
      </c>
      <c r="H179" s="16">
        <f>ROUND(G179*$C$193,2)</f>
        <v>13.76</v>
      </c>
      <c r="J179" s="117">
        <f>(G179-C179)/C179</f>
        <v>0</v>
      </c>
      <c r="K179" s="115"/>
      <c r="L179" s="116" t="e">
        <f>VLOOKUP(K179,#REF!,3,0)</f>
        <v>#REF!</v>
      </c>
      <c r="M179" s="115" t="e">
        <f>IF(L179=C179,"YES","NO")</f>
        <v>#REF!</v>
      </c>
    </row>
    <row r="180" spans="2:13">
      <c r="B180" s="69" t="s">
        <v>239</v>
      </c>
      <c r="C180" s="20">
        <v>91.76</v>
      </c>
      <c r="D180" s="63" t="s">
        <v>60</v>
      </c>
      <c r="E180" s="63">
        <f t="shared" si="96"/>
        <v>91.76</v>
      </c>
      <c r="F180" s="8" t="s">
        <v>60</v>
      </c>
      <c r="G180" s="8">
        <f t="shared" si="97"/>
        <v>91.76</v>
      </c>
      <c r="H180" s="16">
        <f>ROUND(G180*$C$193,2)</f>
        <v>13.76</v>
      </c>
      <c r="J180" s="117">
        <f>(G180-C180)/C180</f>
        <v>0</v>
      </c>
      <c r="K180" s="115"/>
      <c r="L180" s="116" t="e">
        <f>VLOOKUP(K180,#REF!,3,0)</f>
        <v>#REF!</v>
      </c>
      <c r="M180" s="115" t="e">
        <f>IF(L180=C180,"YES","NO")</f>
        <v>#REF!</v>
      </c>
    </row>
    <row r="181" spans="2:13">
      <c r="B181" s="53" t="s">
        <v>240</v>
      </c>
      <c r="C181" s="20">
        <v>0</v>
      </c>
      <c r="D181" s="63" t="s">
        <v>60</v>
      </c>
      <c r="E181" s="63">
        <f t="shared" si="96"/>
        <v>0</v>
      </c>
      <c r="F181" s="8" t="s">
        <v>60</v>
      </c>
      <c r="G181" s="8">
        <v>0</v>
      </c>
      <c r="H181" s="16">
        <f>ROUND(G181*$C$193,2)</f>
        <v>0</v>
      </c>
      <c r="J181" s="117" t="e">
        <f>(G181-C181)/C181</f>
        <v>#DIV/0!</v>
      </c>
      <c r="K181" s="115"/>
      <c r="L181" s="116" t="e">
        <f>VLOOKUP(K181,#REF!,3,0)</f>
        <v>#REF!</v>
      </c>
      <c r="M181" s="115" t="e">
        <f>IF(L181=C181,"YES","NO")</f>
        <v>#REF!</v>
      </c>
    </row>
    <row r="182" spans="2:13">
      <c r="B182" s="53" t="s">
        <v>241</v>
      </c>
      <c r="C182" s="99"/>
      <c r="D182" s="100"/>
      <c r="E182" s="100"/>
      <c r="F182" s="100"/>
      <c r="G182" s="101"/>
      <c r="H182" s="102"/>
      <c r="J182" s="115"/>
      <c r="K182" s="115"/>
      <c r="L182" s="116"/>
      <c r="M182" s="115"/>
    </row>
    <row r="183" spans="2:13">
      <c r="B183" s="90" t="s">
        <v>58</v>
      </c>
      <c r="C183" s="91"/>
      <c r="D183" s="135"/>
      <c r="E183" s="135"/>
      <c r="F183" s="91"/>
      <c r="G183" s="91"/>
      <c r="H183" s="92"/>
      <c r="J183" s="115"/>
      <c r="K183" s="115"/>
      <c r="L183" s="116"/>
      <c r="M183" s="115"/>
    </row>
    <row r="184" spans="2:13">
      <c r="B184" s="53" t="s">
        <v>242</v>
      </c>
      <c r="C184" s="20">
        <v>13.349999999999998</v>
      </c>
      <c r="D184" s="63" t="s">
        <v>60</v>
      </c>
      <c r="E184" s="63">
        <f t="shared" ref="E184:E191" si="98">C184</f>
        <v>13.349999999999998</v>
      </c>
      <c r="F184" s="63" t="s">
        <v>60</v>
      </c>
      <c r="G184" s="8">
        <f t="shared" ref="G184:G189" si="99">C184</f>
        <v>13.349999999999998</v>
      </c>
      <c r="H184" s="16">
        <f t="shared" ref="H184:H190" si="100">ROUND(G184*$C$193,2)</f>
        <v>2</v>
      </c>
      <c r="J184" s="117">
        <f t="shared" ref="J184:J191" si="101">(G184-C184)/C184</f>
        <v>0</v>
      </c>
      <c r="K184" s="115"/>
      <c r="L184" s="116" t="e">
        <f>VLOOKUP(K184,#REF!,3,0)</f>
        <v>#REF!</v>
      </c>
      <c r="M184" s="115" t="e">
        <f t="shared" ref="M184:M191" si="102">IF(L184=C184,"YES","NO")</f>
        <v>#REF!</v>
      </c>
    </row>
    <row r="185" spans="2:13">
      <c r="B185" s="53" t="s">
        <v>243</v>
      </c>
      <c r="C185" s="20">
        <v>213.74999999999997</v>
      </c>
      <c r="D185" s="63" t="s">
        <v>60</v>
      </c>
      <c r="E185" s="63">
        <f t="shared" si="98"/>
        <v>213.74999999999997</v>
      </c>
      <c r="F185" s="63" t="s">
        <v>60</v>
      </c>
      <c r="G185" s="8">
        <f t="shared" si="99"/>
        <v>213.74999999999997</v>
      </c>
      <c r="H185" s="16">
        <f t="shared" si="100"/>
        <v>32.06</v>
      </c>
      <c r="J185" s="117">
        <f t="shared" si="101"/>
        <v>0</v>
      </c>
      <c r="K185" s="115"/>
      <c r="L185" s="116" t="e">
        <f>VLOOKUP(K185,#REF!,3,0)</f>
        <v>#REF!</v>
      </c>
      <c r="M185" s="115" t="e">
        <f t="shared" si="102"/>
        <v>#REF!</v>
      </c>
    </row>
    <row r="186" spans="2:13">
      <c r="B186" s="69" t="s">
        <v>244</v>
      </c>
      <c r="C186" s="111">
        <v>213.74999999999997</v>
      </c>
      <c r="D186" s="113" t="s">
        <v>60</v>
      </c>
      <c r="E186" s="113">
        <f t="shared" si="98"/>
        <v>213.74999999999997</v>
      </c>
      <c r="F186" s="113" t="s">
        <v>60</v>
      </c>
      <c r="G186" s="8">
        <f t="shared" si="99"/>
        <v>213.74999999999997</v>
      </c>
      <c r="H186" s="114">
        <f t="shared" ref="H186" si="103">ROUND(G186*$C$193,2)</f>
        <v>32.06</v>
      </c>
      <c r="J186" s="117">
        <f t="shared" si="101"/>
        <v>0</v>
      </c>
      <c r="K186" s="115" t="s">
        <v>245</v>
      </c>
      <c r="L186" s="116" t="e">
        <f>VLOOKUP(K186,#REF!,3,0)</f>
        <v>#REF!</v>
      </c>
      <c r="M186" s="115" t="e">
        <f t="shared" si="102"/>
        <v>#REF!</v>
      </c>
    </row>
    <row r="187" spans="2:13">
      <c r="B187" s="54" t="s">
        <v>64</v>
      </c>
      <c r="C187" s="20">
        <v>64.13</v>
      </c>
      <c r="D187" s="63" t="s">
        <v>60</v>
      </c>
      <c r="E187" s="63">
        <f t="shared" si="98"/>
        <v>64.13</v>
      </c>
      <c r="F187" s="63" t="s">
        <v>60</v>
      </c>
      <c r="G187" s="8">
        <f t="shared" si="99"/>
        <v>64.13</v>
      </c>
      <c r="H187" s="16">
        <f t="shared" si="100"/>
        <v>9.6199999999999992</v>
      </c>
      <c r="J187" s="117">
        <f t="shared" si="101"/>
        <v>0</v>
      </c>
      <c r="K187" s="115"/>
      <c r="L187" s="116" t="e">
        <f>VLOOKUP(K187,#REF!,3,0)</f>
        <v>#REF!</v>
      </c>
      <c r="M187" s="115" t="e">
        <f t="shared" si="102"/>
        <v>#REF!</v>
      </c>
    </row>
    <row r="188" spans="2:13">
      <c r="B188" s="54" t="s">
        <v>65</v>
      </c>
      <c r="C188" s="20">
        <v>213.74999999999997</v>
      </c>
      <c r="D188" s="63" t="s">
        <v>60</v>
      </c>
      <c r="E188" s="63">
        <f t="shared" si="98"/>
        <v>213.74999999999997</v>
      </c>
      <c r="F188" s="63" t="s">
        <v>60</v>
      </c>
      <c r="G188" s="8">
        <f t="shared" si="99"/>
        <v>213.74999999999997</v>
      </c>
      <c r="H188" s="16">
        <f t="shared" si="100"/>
        <v>32.06</v>
      </c>
      <c r="J188" s="117">
        <f t="shared" si="101"/>
        <v>0</v>
      </c>
      <c r="K188" s="115"/>
      <c r="L188" s="116" t="e">
        <f>VLOOKUP(K188,#REF!,3,0)</f>
        <v>#REF!</v>
      </c>
      <c r="M188" s="115" t="e">
        <f t="shared" si="102"/>
        <v>#REF!</v>
      </c>
    </row>
    <row r="189" spans="2:13">
      <c r="B189" s="53" t="s">
        <v>246</v>
      </c>
      <c r="C189" s="20">
        <v>213.74999999999997</v>
      </c>
      <c r="D189" s="63" t="s">
        <v>60</v>
      </c>
      <c r="E189" s="63">
        <f t="shared" si="98"/>
        <v>213.74999999999997</v>
      </c>
      <c r="F189" s="63" t="s">
        <v>60</v>
      </c>
      <c r="G189" s="8">
        <f t="shared" si="99"/>
        <v>213.74999999999997</v>
      </c>
      <c r="H189" s="16">
        <f t="shared" si="100"/>
        <v>32.06</v>
      </c>
      <c r="J189" s="117">
        <f t="shared" si="101"/>
        <v>0</v>
      </c>
      <c r="K189" s="115"/>
      <c r="L189" s="116" t="e">
        <f>VLOOKUP(K189,#REF!,3,0)</f>
        <v>#REF!</v>
      </c>
      <c r="M189" s="115" t="e">
        <f t="shared" si="102"/>
        <v>#REF!</v>
      </c>
    </row>
    <row r="190" spans="2:13">
      <c r="B190" s="53" t="s">
        <v>196</v>
      </c>
      <c r="C190" s="20">
        <v>25</v>
      </c>
      <c r="D190" s="63" t="s">
        <v>60</v>
      </c>
      <c r="E190" s="63">
        <f t="shared" si="98"/>
        <v>25</v>
      </c>
      <c r="F190" s="63" t="s">
        <v>60</v>
      </c>
      <c r="G190" s="8">
        <v>25</v>
      </c>
      <c r="H190" s="16">
        <f t="shared" si="100"/>
        <v>3.75</v>
      </c>
      <c r="J190" s="117">
        <f t="shared" si="101"/>
        <v>0</v>
      </c>
      <c r="K190" s="115"/>
      <c r="L190" s="116" t="e">
        <f>VLOOKUP(K190,#REF!,3,0)</f>
        <v>#REF!</v>
      </c>
      <c r="M190" s="115" t="e">
        <f t="shared" si="102"/>
        <v>#REF!</v>
      </c>
    </row>
    <row r="191" spans="2:13" ht="45.75" thickBot="1">
      <c r="B191" s="55" t="s">
        <v>247</v>
      </c>
      <c r="C191" s="17" t="s">
        <v>74</v>
      </c>
      <c r="D191" s="66" t="s">
        <v>60</v>
      </c>
      <c r="E191" s="64" t="str">
        <f t="shared" si="98"/>
        <v>2.5% or minimum $5.00</v>
      </c>
      <c r="F191" s="66" t="s">
        <v>60</v>
      </c>
      <c r="G191" s="18" t="s">
        <v>74</v>
      </c>
      <c r="H191" s="19" t="s">
        <v>60</v>
      </c>
      <c r="J191" s="117" t="e">
        <f t="shared" si="101"/>
        <v>#VALUE!</v>
      </c>
      <c r="K191" s="115"/>
      <c r="L191" s="116" t="e">
        <f>VLOOKUP(K191,#REF!,3,0)</f>
        <v>#REF!</v>
      </c>
      <c r="M191" s="115" t="e">
        <f t="shared" si="102"/>
        <v>#REF!</v>
      </c>
    </row>
    <row r="192" spans="2:13">
      <c r="K192" s="14"/>
      <c r="L192" s="10"/>
      <c r="M192" s="9"/>
    </row>
    <row r="193" spans="2:13">
      <c r="B193" s="73" t="s">
        <v>248</v>
      </c>
      <c r="C193" s="74">
        <v>0.15</v>
      </c>
      <c r="D193" s="133"/>
      <c r="E193" s="133"/>
      <c r="K193" s="14"/>
      <c r="L193" s="10"/>
      <c r="M193" s="9"/>
    </row>
  </sheetData>
  <conditionalFormatting sqref="H7:H8">
    <cfRule type="cellIs" dxfId="18" priority="1" operator="lessThan">
      <formula>0</formula>
    </cfRule>
  </conditionalFormatting>
  <conditionalFormatting sqref="M13:M26">
    <cfRule type="cellIs" dxfId="17" priority="69" operator="equal">
      <formula>"NO"</formula>
    </cfRule>
    <cfRule type="cellIs" dxfId="16" priority="70" operator="equal">
      <formula>"YES"</formula>
    </cfRule>
  </conditionalFormatting>
  <conditionalFormatting sqref="M28:M29">
    <cfRule type="cellIs" dxfId="15" priority="67" operator="equal">
      <formula>"NO"</formula>
    </cfRule>
    <cfRule type="cellIs" dxfId="14" priority="68" operator="equal">
      <formula>"YES"</formula>
    </cfRule>
  </conditionalFormatting>
  <conditionalFormatting sqref="M31">
    <cfRule type="cellIs" dxfId="13" priority="65" operator="equal">
      <formula>"NO"</formula>
    </cfRule>
    <cfRule type="cellIs" dxfId="12" priority="66" operator="equal">
      <formula>"YES"</formula>
    </cfRule>
  </conditionalFormatting>
  <conditionalFormatting sqref="M34:M36">
    <cfRule type="cellIs" dxfId="11" priority="63" operator="equal">
      <formula>"NO"</formula>
    </cfRule>
    <cfRule type="cellIs" dxfId="10" priority="64" operator="equal">
      <formula>"YES"</formula>
    </cfRule>
  </conditionalFormatting>
  <conditionalFormatting sqref="M38:M50">
    <cfRule type="cellIs" dxfId="9" priority="6" operator="equal">
      <formula>"NO"</formula>
    </cfRule>
    <cfRule type="cellIs" dxfId="8" priority="7" operator="equal">
      <formula>"YES"</formula>
    </cfRule>
  </conditionalFormatting>
  <conditionalFormatting sqref="M54:M138">
    <cfRule type="cellIs" dxfId="7" priority="2" operator="equal">
      <formula>"NO"</formula>
    </cfRule>
    <cfRule type="cellIs" dxfId="6" priority="3" operator="equal">
      <formula>"YES"</formula>
    </cfRule>
  </conditionalFormatting>
  <conditionalFormatting sqref="M142:M146 M148:M152 M154:M158 M160:M164 M166:M175">
    <cfRule type="cellIs" dxfId="5" priority="71" operator="equal">
      <formula>"NO"</formula>
    </cfRule>
    <cfRule type="cellIs" dxfId="4" priority="72" operator="equal">
      <formula>"YES"</formula>
    </cfRule>
  </conditionalFormatting>
  <conditionalFormatting sqref="M177:M181">
    <cfRule type="cellIs" dxfId="3" priority="29" operator="equal">
      <formula>"NO"</formula>
    </cfRule>
    <cfRule type="cellIs" dxfId="2" priority="30" operator="equal">
      <formula>"YES"</formula>
    </cfRule>
  </conditionalFormatting>
  <conditionalFormatting sqref="M184:M191">
    <cfRule type="cellIs" dxfId="1" priority="4" operator="equal">
      <formula>"NO"</formula>
    </cfRule>
    <cfRule type="cellIs" dxfId="0" priority="5" operator="equal">
      <formula>"YES"</formula>
    </cfRule>
  </conditionalFormatting>
  <pageMargins left="0.7" right="0.7" top="0.75" bottom="0.75" header="0.3" footer="0.3"/>
  <pageSetup scale="62" fitToHeight="0" orientation="portrait" r:id="rId1"/>
  <rowBreaks count="3" manualBreakCount="3">
    <brk id="51" max="9" man="1"/>
    <brk id="117" max="9" man="1"/>
    <brk id="182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 tint="0.59999389629810485"/>
    <pageSetUpPr fitToPage="1"/>
  </sheetPr>
  <dimension ref="B1:O17"/>
  <sheetViews>
    <sheetView showGridLines="0" zoomScaleNormal="100" zoomScaleSheetLayoutView="100" workbookViewId="0">
      <selection activeCell="O5" sqref="O5"/>
    </sheetView>
  </sheetViews>
  <sheetFormatPr defaultRowHeight="15"/>
  <cols>
    <col min="1" max="1" width="2.28515625" customWidth="1"/>
  </cols>
  <sheetData>
    <row r="1" spans="2:15" ht="23.25">
      <c r="B1" s="49" t="s">
        <v>249</v>
      </c>
    </row>
    <row r="2" spans="2:15">
      <c r="B2" s="48"/>
    </row>
    <row r="3" spans="2:15" ht="15.75">
      <c r="B3" s="33" t="s">
        <v>250</v>
      </c>
      <c r="N3" s="50" t="s">
        <v>251</v>
      </c>
      <c r="O3" s="129">
        <v>0</v>
      </c>
    </row>
    <row r="4" spans="2:15">
      <c r="B4" s="34"/>
      <c r="N4" s="50" t="s">
        <v>252</v>
      </c>
      <c r="O4" s="126">
        <v>0</v>
      </c>
    </row>
    <row r="5" spans="2:15">
      <c r="B5" s="35" t="s">
        <v>253</v>
      </c>
      <c r="M5" s="47"/>
      <c r="N5" s="50" t="s">
        <v>254</v>
      </c>
      <c r="O5" s="51">
        <f>O4-O3</f>
        <v>0</v>
      </c>
    </row>
    <row r="6" spans="2:15">
      <c r="B6" s="36" t="s">
        <v>255</v>
      </c>
      <c r="M6" s="47"/>
      <c r="N6" s="50" t="s">
        <v>256</v>
      </c>
      <c r="O6" s="21" t="e">
        <f>ROUND(O5/O3,4)</f>
        <v>#DIV/0!</v>
      </c>
    </row>
    <row r="7" spans="2:15">
      <c r="B7" s="35" t="s">
        <v>257</v>
      </c>
    </row>
    <row r="8" spans="2:15">
      <c r="B8" s="35" t="s">
        <v>258</v>
      </c>
    </row>
    <row r="9" spans="2:15">
      <c r="B9" s="35" t="s">
        <v>259</v>
      </c>
    </row>
    <row r="10" spans="2:15">
      <c r="B10" s="35" t="s">
        <v>260</v>
      </c>
    </row>
    <row r="11" spans="2:15" ht="15.75" thickBot="1"/>
    <row r="12" spans="2:15" ht="15.75" thickBot="1">
      <c r="B12" s="31" t="s">
        <v>261</v>
      </c>
      <c r="C12" s="32" t="s">
        <v>262</v>
      </c>
      <c r="D12" s="32" t="s">
        <v>263</v>
      </c>
      <c r="E12" s="32" t="s">
        <v>264</v>
      </c>
      <c r="F12" s="32" t="s">
        <v>265</v>
      </c>
      <c r="G12" s="32" t="s">
        <v>266</v>
      </c>
      <c r="H12" s="32" t="s">
        <v>267</v>
      </c>
      <c r="I12" s="32" t="s">
        <v>268</v>
      </c>
      <c r="J12" s="32" t="s">
        <v>269</v>
      </c>
      <c r="K12" s="32" t="s">
        <v>270</v>
      </c>
      <c r="L12" s="32" t="s">
        <v>271</v>
      </c>
      <c r="M12" s="32" t="s">
        <v>272</v>
      </c>
      <c r="N12" s="32" t="s">
        <v>273</v>
      </c>
      <c r="O12" s="40" t="s">
        <v>274</v>
      </c>
    </row>
    <row r="13" spans="2:15" ht="15.75" thickBot="1">
      <c r="B13" s="46">
        <v>2018</v>
      </c>
      <c r="C13" s="29">
        <v>232.977</v>
      </c>
      <c r="D13" s="29">
        <v>233.858</v>
      </c>
      <c r="E13" s="29">
        <v>234.215</v>
      </c>
      <c r="F13" s="44">
        <v>235.14099999999999</v>
      </c>
      <c r="G13" s="44">
        <v>235.87799999999999</v>
      </c>
      <c r="H13" s="44">
        <v>236.49299999999999</v>
      </c>
      <c r="I13" s="44">
        <v>237.18600000000001</v>
      </c>
      <c r="J13" s="44">
        <v>238.43899999999999</v>
      </c>
      <c r="K13" s="44">
        <v>238.512</v>
      </c>
      <c r="L13" s="44">
        <v>238.93600000000001</v>
      </c>
      <c r="M13" s="44">
        <v>241.774</v>
      </c>
      <c r="N13" s="44">
        <v>242.20400000000001</v>
      </c>
      <c r="O13" s="43">
        <v>237.13399999999999</v>
      </c>
    </row>
    <row r="14" spans="2:15" ht="15.75" thickBot="1">
      <c r="B14" s="45">
        <v>2019</v>
      </c>
      <c r="C14" s="30">
        <v>241.60599999999999</v>
      </c>
      <c r="D14" s="30">
        <v>242.011</v>
      </c>
      <c r="E14" s="30">
        <v>242.61099999999999</v>
      </c>
      <c r="F14" s="30">
        <v>243.49</v>
      </c>
      <c r="G14" s="30">
        <v>243.774</v>
      </c>
      <c r="H14" s="30">
        <v>244.322</v>
      </c>
      <c r="I14" s="30">
        <v>244.94300000000001</v>
      </c>
      <c r="J14" s="30">
        <v>245.54900000000001</v>
      </c>
      <c r="K14" s="30">
        <v>245.90299999999999</v>
      </c>
      <c r="L14" s="30">
        <v>246.74100000000001</v>
      </c>
      <c r="M14" s="30">
        <v>247.364</v>
      </c>
      <c r="N14" s="30">
        <v>247.56700000000001</v>
      </c>
      <c r="O14" s="42">
        <v>244.65700000000001</v>
      </c>
    </row>
    <row r="15" spans="2:15" ht="15.75" thickBot="1">
      <c r="B15" s="46">
        <v>2020</v>
      </c>
      <c r="C15" s="29">
        <v>248.846</v>
      </c>
      <c r="D15" s="29">
        <v>249.751</v>
      </c>
      <c r="E15" s="29">
        <v>250.35900000000001</v>
      </c>
      <c r="F15" s="44">
        <v>250.673</v>
      </c>
      <c r="G15" s="39">
        <v>250.92099999999999</v>
      </c>
      <c r="H15" s="39">
        <v>251.435</v>
      </c>
      <c r="I15" s="39">
        <v>252.40100000000001</v>
      </c>
      <c r="J15" s="39">
        <v>253.97399999999999</v>
      </c>
      <c r="K15" s="39">
        <v>254.26599999999999</v>
      </c>
      <c r="L15" s="39">
        <v>254.78100000000001</v>
      </c>
      <c r="M15" s="39">
        <v>255.65</v>
      </c>
      <c r="N15" s="39">
        <v>256.45600000000002</v>
      </c>
      <c r="O15" s="41">
        <v>252.459</v>
      </c>
    </row>
    <row r="16" spans="2:15" ht="15.75" thickBot="1">
      <c r="B16" s="45">
        <v>2021</v>
      </c>
      <c r="C16" s="39">
        <v>257.72199999999998</v>
      </c>
      <c r="D16" s="39">
        <v>258.76299999999998</v>
      </c>
      <c r="E16" s="39">
        <v>259.20400000000001</v>
      </c>
      <c r="F16" s="39">
        <v>259.58100000000002</v>
      </c>
      <c r="G16" s="38">
        <v>259.54199999999997</v>
      </c>
      <c r="H16" s="38">
        <v>260.39999999999998</v>
      </c>
      <c r="I16" s="38">
        <v>261.70600000000002</v>
      </c>
      <c r="J16" s="38">
        <v>262.81</v>
      </c>
      <c r="K16" s="38">
        <v>263.74700000000001</v>
      </c>
      <c r="L16" s="38">
        <v>264.27800000000002</v>
      </c>
      <c r="M16" s="38">
        <v>264.58</v>
      </c>
      <c r="N16" s="38">
        <v>265.36500000000001</v>
      </c>
      <c r="O16" s="42">
        <v>261.47500000000002</v>
      </c>
    </row>
    <row r="17" spans="2:15" ht="15.75" thickBot="1">
      <c r="B17" s="46">
        <v>2022</v>
      </c>
      <c r="C17" s="37">
        <v>268.12799999999999</v>
      </c>
      <c r="D17" s="37">
        <v>269.52100000000002</v>
      </c>
      <c r="E17" s="37">
        <v>269.62099999999998</v>
      </c>
      <c r="F17" s="37">
        <v>270.41899999999998</v>
      </c>
      <c r="G17" s="44"/>
      <c r="H17" s="44"/>
      <c r="I17" s="44"/>
      <c r="J17" s="44"/>
      <c r="K17" s="44"/>
      <c r="L17" s="44"/>
      <c r="M17" s="44"/>
      <c r="N17" s="44"/>
      <c r="O17" s="43"/>
    </row>
  </sheetData>
  <pageMargins left="0.7" right="0.7" top="0.75" bottom="0.75" header="0.3" footer="0.3"/>
  <pageSetup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theme="9" tint="0.59999389629810485"/>
    <pageSetUpPr fitToPage="1"/>
  </sheetPr>
  <dimension ref="B1:G24"/>
  <sheetViews>
    <sheetView showGridLines="0" zoomScaleNormal="100" zoomScalePageLayoutView="85" workbookViewId="0">
      <selection activeCell="B27" sqref="B27"/>
    </sheetView>
  </sheetViews>
  <sheetFormatPr defaultRowHeight="15"/>
  <cols>
    <col min="1" max="1" width="3.42578125" customWidth="1"/>
    <col min="2" max="2" width="49.28515625" bestFit="1" customWidth="1"/>
    <col min="3" max="3" width="13.5703125" customWidth="1"/>
    <col min="4" max="4" width="24.7109375" customWidth="1"/>
    <col min="5" max="5" width="3.140625" customWidth="1"/>
    <col min="6" max="6" width="49.28515625" bestFit="1" customWidth="1"/>
    <col min="7" max="7" width="10.7109375" customWidth="1"/>
  </cols>
  <sheetData>
    <row r="1" spans="2:7" ht="15.75">
      <c r="B1" s="156"/>
      <c r="C1" s="157"/>
    </row>
    <row r="2" spans="2:7">
      <c r="B2" s="158" t="s">
        <v>275</v>
      </c>
      <c r="C2" s="158"/>
    </row>
    <row r="3" spans="2:7" ht="16.5" thickBot="1">
      <c r="B3" s="107"/>
      <c r="C3" s="107"/>
    </row>
    <row r="4" spans="2:7" ht="15.75">
      <c r="B4" s="161" t="s">
        <v>276</v>
      </c>
      <c r="C4" s="162"/>
      <c r="F4" s="150" t="s">
        <v>277</v>
      </c>
      <c r="G4" s="151"/>
    </row>
    <row r="5" spans="2:7" ht="30">
      <c r="B5" s="52" t="s">
        <v>278</v>
      </c>
      <c r="C5" s="130">
        <v>1352234</v>
      </c>
      <c r="D5" s="155" t="s">
        <v>279</v>
      </c>
      <c r="F5" s="143" t="s">
        <v>261</v>
      </c>
      <c r="G5" s="144" t="s">
        <v>280</v>
      </c>
    </row>
    <row r="6" spans="2:7" ht="15.75">
      <c r="B6" s="52" t="s">
        <v>281</v>
      </c>
      <c r="C6" s="130">
        <v>470038</v>
      </c>
      <c r="D6" s="155"/>
      <c r="F6" s="52" t="s">
        <v>282</v>
      </c>
      <c r="G6" s="145">
        <v>45.2</v>
      </c>
    </row>
    <row r="7" spans="2:7" ht="16.5" thickBot="1">
      <c r="B7" s="58" t="s">
        <v>283</v>
      </c>
      <c r="C7" s="59">
        <f>C6/C5</f>
        <v>0.34760108087801372</v>
      </c>
      <c r="D7" s="155"/>
      <c r="E7" s="48"/>
      <c r="F7" s="52" t="s">
        <v>284</v>
      </c>
      <c r="G7" s="145">
        <v>50.65</v>
      </c>
    </row>
    <row r="8" spans="2:7" ht="16.5" thickBot="1">
      <c r="F8" s="52" t="s">
        <v>285</v>
      </c>
      <c r="G8" s="145">
        <v>51.88</v>
      </c>
    </row>
    <row r="9" spans="2:7" ht="15.75">
      <c r="B9" s="159" t="s">
        <v>286</v>
      </c>
      <c r="C9" s="160"/>
      <c r="F9" s="146" t="s">
        <v>287</v>
      </c>
      <c r="G9" s="145">
        <v>53.32</v>
      </c>
    </row>
    <row r="10" spans="2:7" ht="15.75">
      <c r="B10" s="52" t="str">
        <f>F12</f>
        <v>2022 Disposal Rate - 7/1/22 - (corrected)</v>
      </c>
      <c r="C10" s="122">
        <f>G12</f>
        <v>56.31</v>
      </c>
      <c r="F10" s="52" t="s">
        <v>288</v>
      </c>
      <c r="G10" s="145">
        <v>54.8</v>
      </c>
    </row>
    <row r="11" spans="2:7" ht="15.75">
      <c r="B11" s="52" t="str">
        <f>F11</f>
        <v>2022 Disposal Rate - 7/1/22 - (incorrectly used)</v>
      </c>
      <c r="C11" s="122">
        <f>G11</f>
        <v>56.44</v>
      </c>
      <c r="F11" s="52" t="s">
        <v>289</v>
      </c>
      <c r="G11" s="147">
        <v>56.44</v>
      </c>
    </row>
    <row r="12" spans="2:7" ht="15.75">
      <c r="B12" s="140" t="s">
        <v>290</v>
      </c>
      <c r="C12" s="122">
        <f>+C10-C11</f>
        <v>-0.12999999999999545</v>
      </c>
      <c r="F12" s="52" t="s">
        <v>291</v>
      </c>
      <c r="G12" s="145">
        <v>56.31</v>
      </c>
    </row>
    <row r="13" spans="2:7" ht="16.5" thickBot="1">
      <c r="B13" s="140" t="s">
        <v>292</v>
      </c>
      <c r="C13" s="142">
        <f>C12/C11</f>
        <v>-2.3033309709425136E-3</v>
      </c>
      <c r="F13" s="148" t="s">
        <v>293</v>
      </c>
      <c r="G13" s="149">
        <v>61.06</v>
      </c>
    </row>
    <row r="14" spans="2:7" ht="15.75">
      <c r="B14" s="140" t="s">
        <v>294</v>
      </c>
      <c r="C14" s="142">
        <f>C7</f>
        <v>0.34760108087801372</v>
      </c>
    </row>
    <row r="15" spans="2:7" ht="16.5" thickBot="1">
      <c r="B15" s="141" t="s">
        <v>295</v>
      </c>
      <c r="C15" s="57">
        <f>C13*C14</f>
        <v>-8.0064033511942259E-4</v>
      </c>
    </row>
    <row r="16" spans="2:7" ht="15.75" thickBot="1"/>
    <row r="17" spans="2:4" ht="15.75">
      <c r="B17" s="159" t="s">
        <v>296</v>
      </c>
      <c r="C17" s="160"/>
    </row>
    <row r="18" spans="2:4" ht="15.75">
      <c r="B18" s="52" t="s">
        <v>297</v>
      </c>
      <c r="C18" s="122">
        <f>G13</f>
        <v>61.06</v>
      </c>
    </row>
    <row r="19" spans="2:4" ht="15.75">
      <c r="B19" s="52" t="s">
        <v>298</v>
      </c>
      <c r="C19" s="122">
        <f>G12</f>
        <v>56.31</v>
      </c>
    </row>
    <row r="20" spans="2:4" ht="15.75">
      <c r="B20" s="140" t="s">
        <v>290</v>
      </c>
      <c r="C20" s="122">
        <f>+C18-C19</f>
        <v>4.75</v>
      </c>
    </row>
    <row r="21" spans="2:4" ht="15.75">
      <c r="B21" s="140" t="s">
        <v>292</v>
      </c>
      <c r="C21" s="142">
        <f>C20/C19</f>
        <v>8.4354466347007634E-2</v>
      </c>
    </row>
    <row r="22" spans="2:4" ht="15.75">
      <c r="B22" s="140" t="s">
        <v>294</v>
      </c>
      <c r="C22" s="142">
        <f>C7</f>
        <v>0.34760108087801372</v>
      </c>
    </row>
    <row r="23" spans="2:4" ht="16.5" thickBot="1">
      <c r="B23" s="141" t="s">
        <v>299</v>
      </c>
      <c r="C23" s="57">
        <f>C21*C22</f>
        <v>2.9321703679107889E-2</v>
      </c>
    </row>
    <row r="24" spans="2:4">
      <c r="D24" s="152"/>
    </row>
  </sheetData>
  <mergeCells count="6">
    <mergeCell ref="D5:D7"/>
    <mergeCell ref="B1:C1"/>
    <mergeCell ref="B2:C2"/>
    <mergeCell ref="B17:C17"/>
    <mergeCell ref="B9:C9"/>
    <mergeCell ref="B4:C4"/>
  </mergeCells>
  <pageMargins left="0.7" right="0.7" top="0.75" bottom="0.7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5D5498BD4B0049BA63B933DA4BB206" ma:contentTypeVersion="15" ma:contentTypeDescription="Create a new document." ma:contentTypeScope="" ma:versionID="81cf44eb55c18d8296ac4bc8b1807608">
  <xsd:schema xmlns:xsd="http://www.w3.org/2001/XMLSchema" xmlns:xs="http://www.w3.org/2001/XMLSchema" xmlns:p="http://schemas.microsoft.com/office/2006/metadata/properties" xmlns:ns2="a293af54-83ec-44aa-91db-49f8a9c878ca" xmlns:ns3="49515cca-faa7-4062-91f7-1e202ac3026d" targetNamespace="http://schemas.microsoft.com/office/2006/metadata/properties" ma:root="true" ma:fieldsID="46ef50edba01d7b203a37fdaf7ab2cdd" ns2:_="" ns3:_="">
    <xsd:import namespace="a293af54-83ec-44aa-91db-49f8a9c878ca"/>
    <xsd:import namespace="49515cca-faa7-4062-91f7-1e202ac302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3af54-83ec-44aa-91db-49f8a9c878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1f4416cd-bdfb-4fc0-9d15-9b766f20dc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515cca-faa7-4062-91f7-1e202ac302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a60a17ee-738c-47ee-87a6-d60830aea9b2}" ma:internalName="TaxCatchAll" ma:showField="CatchAllData" ma:web="49515cca-faa7-4062-91f7-1e202ac302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BDEB33-CB0A-4A2A-8C10-2D6A4E0753E5}"/>
</file>

<file path=customXml/itemProps2.xml><?xml version="1.0" encoding="utf-8"?>
<ds:datastoreItem xmlns:ds="http://schemas.openxmlformats.org/officeDocument/2006/customXml" ds:itemID="{37588CFF-5C28-483C-83CB-886BDAED03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2018-06-01T22:31:21Z</dcterms:created>
  <dcterms:modified xsi:type="dcterms:W3CDTF">2023-04-20T23:13:00Z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